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07\"/>
    </mc:Choice>
  </mc:AlternateContent>
  <xr:revisionPtr revIDLastSave="0" documentId="13_ncr:1_{DF3BB265-8495-4753-9EE4-560A311C2C87}" xr6:coauthVersionLast="36" xr6:coauthVersionMax="36" xr10:uidLastSave="{00000000-0000-0000-0000-000000000000}"/>
  <bookViews>
    <workbookView xWindow="0" yWindow="0" windowWidth="19200" windowHeight="11340" firstSheet="2" activeTab="3" xr2:uid="{00000000-000D-0000-FFFF-FFFF00000000}"/>
  </bookViews>
  <sheets>
    <sheet name="班費" sheetId="34" r:id="rId1"/>
    <sheet name="功課表" sheetId="42" r:id="rId2"/>
    <sheet name="座位 (2)" sheetId="9" r:id="rId3"/>
    <sheet name="班親會" sheetId="15" r:id="rId4"/>
    <sheet name="名牌" sheetId="39" r:id="rId5"/>
    <sheet name="紀錄表" sheetId="2" r:id="rId6"/>
    <sheet name="緊急聯絡" sheetId="1" r:id="rId7"/>
    <sheet name="幹部與整潔" sheetId="8" r:id="rId8"/>
    <sheet name="請假" sheetId="29" r:id="rId9"/>
    <sheet name="回條" sheetId="28" r:id="rId10"/>
    <sheet name="教師日誌表 " sheetId="6" r:id="rId11"/>
    <sheet name="日用品" sheetId="10" r:id="rId12"/>
    <sheet name="國語(末)" sheetId="25" r:id="rId13"/>
    <sheet name="國語(中)" sheetId="18" r:id="rId14"/>
    <sheet name="數學 (1)" sheetId="35" r:id="rId15"/>
    <sheet name="數學 (2)" sheetId="24" r:id="rId16"/>
    <sheet name="表演" sheetId="36" r:id="rId17"/>
    <sheet name="美勞" sheetId="22" r:id="rId18"/>
    <sheet name="座位" sheetId="5" r:id="rId19"/>
    <sheet name="體育" sheetId="11" r:id="rId20"/>
    <sheet name="綜合" sheetId="12" r:id="rId21"/>
    <sheet name="閱讀" sheetId="26" r:id="rId22"/>
    <sheet name="選票" sheetId="19" r:id="rId23"/>
    <sheet name="成績紀錄" sheetId="20" r:id="rId24"/>
    <sheet name="成績" sheetId="21" r:id="rId25"/>
    <sheet name="暑假" sheetId="30" r:id="rId26"/>
    <sheet name="工作表2" sheetId="23" r:id="rId27"/>
    <sheet name="工作表3" sheetId="27" r:id="rId28"/>
    <sheet name="語文競賽" sheetId="31" r:id="rId29"/>
    <sheet name="SPM" sheetId="32" r:id="rId30"/>
    <sheet name="樂樂棒" sheetId="33" r:id="rId31"/>
    <sheet name="工作表4" sheetId="37" r:id="rId32"/>
    <sheet name="工作表5" sheetId="38" r:id="rId33"/>
    <sheet name="工作表6" sheetId="40" r:id="rId34"/>
  </sheets>
  <calcPr calcId="191029"/>
</workbook>
</file>

<file path=xl/calcChain.xml><?xml version="1.0" encoding="utf-8"?>
<calcChain xmlns="http://schemas.openxmlformats.org/spreadsheetml/2006/main">
  <c r="K3" i="30" l="1"/>
  <c r="E30" i="6"/>
  <c r="C39" i="8" l="1"/>
  <c r="C11" i="8"/>
  <c r="AS18" i="11" l="1"/>
  <c r="AS19" i="11"/>
  <c r="AS20" i="11"/>
  <c r="AS21" i="11"/>
  <c r="AS22" i="11"/>
  <c r="AS23" i="11"/>
  <c r="AS24" i="11"/>
  <c r="AS25" i="11"/>
  <c r="AS26" i="11"/>
  <c r="AS27" i="11"/>
  <c r="AS28" i="11"/>
  <c r="AS17" i="11"/>
  <c r="AS4" i="11"/>
  <c r="AS5" i="11"/>
  <c r="AS6" i="11"/>
  <c r="AS7" i="11"/>
  <c r="AS8" i="11"/>
  <c r="AS9" i="11"/>
  <c r="AS10" i="11"/>
  <c r="AS11" i="11"/>
  <c r="AS12" i="11"/>
  <c r="AS13" i="11"/>
  <c r="AS14" i="11"/>
  <c r="AS15" i="11"/>
  <c r="AS16" i="11"/>
  <c r="AS3" i="11"/>
  <c r="AR23" i="11" l="1"/>
  <c r="AO4" i="11"/>
  <c r="AR4" i="11" s="1"/>
  <c r="AO5" i="11"/>
  <c r="AR5" i="11" s="1"/>
  <c r="AO6" i="11"/>
  <c r="AR6" i="11" s="1"/>
  <c r="AO7" i="11"/>
  <c r="AR7" i="11" s="1"/>
  <c r="AO8" i="11"/>
  <c r="AR8" i="11" s="1"/>
  <c r="AO9" i="11"/>
  <c r="AR9" i="11" s="1"/>
  <c r="AO10" i="11"/>
  <c r="AR10" i="11" s="1"/>
  <c r="AO11" i="11"/>
  <c r="AR11" i="11" s="1"/>
  <c r="AO12" i="11"/>
  <c r="AR12" i="11" s="1"/>
  <c r="AO13" i="11"/>
  <c r="AR13" i="11" s="1"/>
  <c r="AO14" i="11"/>
  <c r="AR14" i="11" s="1"/>
  <c r="AO15" i="11"/>
  <c r="AR15" i="11" s="1"/>
  <c r="AO16" i="11"/>
  <c r="AR16" i="11" s="1"/>
  <c r="AO17" i="11"/>
  <c r="AR17" i="11" s="1"/>
  <c r="AO18" i="11"/>
  <c r="AR18" i="11" s="1"/>
  <c r="AO19" i="11"/>
  <c r="AR19" i="11" s="1"/>
  <c r="AO20" i="11"/>
  <c r="AR20" i="11" s="1"/>
  <c r="AO21" i="11"/>
  <c r="AR21" i="11" s="1"/>
  <c r="AO22" i="11"/>
  <c r="AR22" i="11" s="1"/>
  <c r="AO23" i="11"/>
  <c r="AO24" i="11"/>
  <c r="AR24" i="11" s="1"/>
  <c r="AO25" i="11"/>
  <c r="AR25" i="11" s="1"/>
  <c r="AO26" i="11"/>
  <c r="AR26" i="11" s="1"/>
  <c r="AO27" i="11"/>
  <c r="AR27" i="11" s="1"/>
  <c r="AO28" i="11"/>
  <c r="AR28" i="11" s="1"/>
  <c r="AO3" i="11"/>
  <c r="AR3" i="11" s="1"/>
  <c r="J22" i="18" l="1"/>
  <c r="M30" i="28" l="1"/>
  <c r="G5" i="34" l="1"/>
  <c r="AY28" i="35" l="1"/>
  <c r="AY27" i="35"/>
  <c r="G4" i="15" l="1"/>
  <c r="G5" i="15"/>
  <c r="G6" i="15"/>
  <c r="G3" i="15"/>
  <c r="G6" i="34"/>
  <c r="G7" i="34"/>
  <c r="G4" i="34"/>
  <c r="D3" i="34"/>
  <c r="H4" i="34" l="1"/>
  <c r="H5" i="34" s="1"/>
  <c r="H6" i="34" s="1"/>
  <c r="H7" i="34" s="1"/>
  <c r="E8" i="34" s="1"/>
  <c r="K11" i="30" l="1"/>
  <c r="B22" i="6" l="1"/>
  <c r="C44" i="8"/>
  <c r="E30" i="28"/>
  <c r="F30" i="28"/>
  <c r="G30" i="28"/>
  <c r="H30" i="28"/>
  <c r="I30" i="28"/>
  <c r="I32" i="28" s="1"/>
  <c r="I36" i="28" s="1"/>
  <c r="J30" i="28"/>
  <c r="K30" i="28"/>
  <c r="L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D30" i="28"/>
  <c r="B5" i="28"/>
  <c r="B6" i="28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4" i="28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4" i="6"/>
  <c r="C41" i="8"/>
  <c r="C35" i="8"/>
  <c r="C36" i="8"/>
  <c r="D23" i="6"/>
  <c r="D24" i="6"/>
  <c r="D25" i="6"/>
  <c r="D26" i="6"/>
  <c r="D27" i="6"/>
  <c r="D28" i="6"/>
  <c r="D29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C16" i="9"/>
  <c r="D16" i="9"/>
  <c r="A18" i="9"/>
  <c r="B18" i="9"/>
  <c r="C18" i="9"/>
  <c r="D18" i="9"/>
  <c r="E18" i="9"/>
  <c r="F18" i="9"/>
  <c r="A20" i="9"/>
  <c r="B20" i="9"/>
  <c r="C20" i="9"/>
  <c r="D20" i="9"/>
  <c r="E20" i="9"/>
  <c r="F20" i="9"/>
  <c r="A23" i="9"/>
  <c r="B23" i="9"/>
  <c r="C23" i="9"/>
  <c r="D23" i="9"/>
  <c r="E23" i="9"/>
  <c r="F23" i="9"/>
  <c r="A25" i="9"/>
  <c r="B25" i="9"/>
  <c r="C25" i="9"/>
  <c r="D25" i="9"/>
  <c r="E25" i="9"/>
  <c r="F25" i="9"/>
  <c r="C4" i="29"/>
  <c r="D4" i="29"/>
  <c r="E4" i="29"/>
  <c r="F4" i="29"/>
  <c r="G4" i="29"/>
  <c r="C5" i="29"/>
  <c r="D5" i="29"/>
  <c r="E5" i="29"/>
  <c r="F5" i="29"/>
  <c r="G5" i="29"/>
  <c r="C6" i="29"/>
  <c r="D6" i="29"/>
  <c r="E6" i="29"/>
  <c r="F6" i="29"/>
  <c r="G6" i="29"/>
  <c r="C7" i="29"/>
  <c r="D7" i="29"/>
  <c r="E7" i="29"/>
  <c r="F7" i="29"/>
  <c r="G7" i="29"/>
  <c r="C8" i="29"/>
  <c r="D8" i="29"/>
  <c r="E8" i="29"/>
  <c r="F8" i="29"/>
  <c r="G8" i="29"/>
  <c r="C9" i="29"/>
  <c r="D9" i="29"/>
  <c r="E9" i="29"/>
  <c r="F9" i="29"/>
  <c r="G9" i="29"/>
  <c r="C10" i="29"/>
  <c r="D10" i="29"/>
  <c r="E10" i="29"/>
  <c r="F10" i="29"/>
  <c r="G10" i="29"/>
  <c r="C11" i="29"/>
  <c r="D11" i="29"/>
  <c r="E11" i="29"/>
  <c r="F11" i="29"/>
  <c r="G11" i="29"/>
  <c r="C12" i="29"/>
  <c r="D12" i="29"/>
  <c r="E12" i="29"/>
  <c r="F12" i="29"/>
  <c r="G12" i="29"/>
  <c r="C13" i="29"/>
  <c r="D13" i="29"/>
  <c r="E13" i="29"/>
  <c r="F13" i="29"/>
  <c r="G13" i="29"/>
  <c r="C14" i="29"/>
  <c r="D14" i="29"/>
  <c r="E14" i="29"/>
  <c r="F14" i="29"/>
  <c r="G14" i="29"/>
  <c r="C15" i="29"/>
  <c r="D15" i="29"/>
  <c r="E15" i="29"/>
  <c r="F15" i="29"/>
  <c r="G15" i="29"/>
  <c r="C16" i="29"/>
  <c r="D16" i="29"/>
  <c r="E16" i="29"/>
  <c r="F16" i="29"/>
  <c r="G16" i="29"/>
  <c r="C17" i="29"/>
  <c r="D17" i="29"/>
  <c r="E17" i="29"/>
  <c r="F17" i="29"/>
  <c r="G17" i="29"/>
  <c r="C18" i="29"/>
  <c r="D18" i="29"/>
  <c r="E18" i="29"/>
  <c r="F18" i="29"/>
  <c r="G18" i="29"/>
  <c r="C19" i="29"/>
  <c r="D19" i="29"/>
  <c r="E19" i="29"/>
  <c r="F19" i="29"/>
  <c r="G19" i="29"/>
  <c r="C20" i="29"/>
  <c r="D20" i="29"/>
  <c r="E20" i="29"/>
  <c r="F20" i="29"/>
  <c r="G20" i="29"/>
  <c r="C21" i="29"/>
  <c r="D21" i="29"/>
  <c r="E21" i="29"/>
  <c r="F21" i="29"/>
  <c r="G21" i="29"/>
  <c r="C22" i="29"/>
  <c r="D22" i="29"/>
  <c r="E22" i="29"/>
  <c r="F22" i="29"/>
  <c r="G22" i="29"/>
  <c r="C23" i="29"/>
  <c r="D23" i="29"/>
  <c r="E23" i="29"/>
  <c r="F23" i="29"/>
  <c r="G23" i="29"/>
  <c r="C24" i="29"/>
  <c r="D24" i="29"/>
  <c r="E24" i="29"/>
  <c r="F24" i="29"/>
  <c r="G24" i="29"/>
  <c r="C25" i="29"/>
  <c r="D25" i="29"/>
  <c r="E25" i="29"/>
  <c r="F25" i="29"/>
  <c r="G25" i="29"/>
  <c r="C26" i="29"/>
  <c r="D26" i="29"/>
  <c r="E26" i="29"/>
  <c r="F26" i="29"/>
  <c r="G26" i="29"/>
  <c r="C27" i="29"/>
  <c r="D27" i="29"/>
  <c r="E27" i="29"/>
  <c r="F27" i="29"/>
  <c r="G27" i="29"/>
  <c r="C28" i="29"/>
  <c r="D28" i="29"/>
  <c r="E28" i="29"/>
  <c r="F28" i="29"/>
  <c r="G28" i="29"/>
  <c r="C29" i="29"/>
  <c r="D29" i="29"/>
  <c r="E29" i="29"/>
  <c r="F29" i="29"/>
  <c r="G29" i="29"/>
  <c r="C30" i="29"/>
  <c r="D30" i="29"/>
  <c r="E30" i="29"/>
  <c r="F30" i="29"/>
  <c r="G30" i="29"/>
  <c r="D3" i="29"/>
  <c r="G3" i="29"/>
  <c r="F3" i="29"/>
  <c r="E3" i="29"/>
  <c r="B28" i="30" l="1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4" i="30"/>
  <c r="B3" i="30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3" i="26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29" i="6"/>
  <c r="B28" i="6"/>
  <c r="B27" i="6"/>
  <c r="B26" i="6"/>
  <c r="B25" i="6"/>
  <c r="B24" i="6"/>
  <c r="B23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3" i="29"/>
  <c r="B25" i="38" l="1"/>
  <c r="B26" i="38" s="1"/>
  <c r="A25" i="38"/>
  <c r="A26" i="38" s="1"/>
  <c r="B7" i="38"/>
  <c r="B6" i="38"/>
  <c r="A6" i="38"/>
  <c r="A7" i="38" s="1"/>
  <c r="AG4" i="26"/>
  <c r="AG5" i="26"/>
  <c r="AG6" i="26"/>
  <c r="AG7" i="26"/>
  <c r="AG8" i="26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G24" i="26"/>
  <c r="AG25" i="26"/>
  <c r="AG26" i="26"/>
  <c r="AG27" i="26"/>
  <c r="AG28" i="26"/>
  <c r="AG29" i="26"/>
  <c r="AG30" i="26"/>
  <c r="AG3" i="26"/>
  <c r="AZ30" i="11"/>
  <c r="AZ29" i="11"/>
  <c r="AZ28" i="11"/>
  <c r="AZ27" i="11"/>
  <c r="AZ26" i="11"/>
  <c r="AZ25" i="11"/>
  <c r="AZ24" i="11"/>
  <c r="AZ23" i="11"/>
  <c r="AZ22" i="11"/>
  <c r="AZ21" i="11"/>
  <c r="AZ20" i="11"/>
  <c r="AZ19" i="11"/>
  <c r="AZ18" i="11"/>
  <c r="AZ17" i="11"/>
  <c r="AZ16" i="11"/>
  <c r="AZ15" i="11"/>
  <c r="AZ14" i="11"/>
  <c r="AZ13" i="11"/>
  <c r="AZ12" i="11"/>
  <c r="AZ11" i="11"/>
  <c r="AZ10" i="11"/>
  <c r="AZ9" i="11"/>
  <c r="AZ8" i="11"/>
  <c r="AZ7" i="11"/>
  <c r="AZ6" i="11"/>
  <c r="AZ5" i="11"/>
  <c r="AZ4" i="11"/>
  <c r="AZ3" i="11"/>
  <c r="AS5" i="22"/>
  <c r="AS6" i="22"/>
  <c r="AS7" i="22"/>
  <c r="AS8" i="22"/>
  <c r="AS9" i="22"/>
  <c r="AS10" i="22"/>
  <c r="AS11" i="22"/>
  <c r="AS12" i="22"/>
  <c r="AS13" i="22"/>
  <c r="AS14" i="22"/>
  <c r="AS15" i="22"/>
  <c r="AS16" i="22"/>
  <c r="AS17" i="22"/>
  <c r="AS18" i="22"/>
  <c r="AS19" i="22"/>
  <c r="AS20" i="22"/>
  <c r="AS21" i="22"/>
  <c r="AS22" i="22"/>
  <c r="AS23" i="22"/>
  <c r="AS24" i="22"/>
  <c r="AS25" i="22"/>
  <c r="AS26" i="22"/>
  <c r="AS27" i="22"/>
  <c r="AS28" i="22"/>
  <c r="AS29" i="22"/>
  <c r="AS30" i="22"/>
  <c r="AS31" i="22"/>
  <c r="AS4" i="22"/>
  <c r="AS5" i="36"/>
  <c r="AS6" i="36"/>
  <c r="AS7" i="36"/>
  <c r="AS8" i="36"/>
  <c r="AS9" i="36"/>
  <c r="AS10" i="36"/>
  <c r="AS11" i="36"/>
  <c r="AS12" i="36"/>
  <c r="AS13" i="36"/>
  <c r="AS14" i="36"/>
  <c r="AS15" i="36"/>
  <c r="AS16" i="36"/>
  <c r="AS17" i="36"/>
  <c r="AS18" i="36"/>
  <c r="AS19" i="36"/>
  <c r="AS20" i="36"/>
  <c r="AS21" i="36"/>
  <c r="AS22" i="36"/>
  <c r="AS23" i="36"/>
  <c r="AS24" i="36"/>
  <c r="AS25" i="36"/>
  <c r="AS26" i="36"/>
  <c r="AS27" i="36"/>
  <c r="AS28" i="36"/>
  <c r="AS29" i="36"/>
  <c r="AS30" i="36"/>
  <c r="AS31" i="36"/>
  <c r="AS4" i="36"/>
  <c r="AM32" i="36"/>
  <c r="AL32" i="36"/>
  <c r="AU32" i="24" l="1"/>
  <c r="AY31" i="24"/>
  <c r="BH32" i="25"/>
  <c r="S29" i="25" l="1"/>
  <c r="S27" i="25"/>
  <c r="S25" i="25"/>
  <c r="S24" i="25"/>
  <c r="S20" i="25"/>
  <c r="S19" i="25"/>
  <c r="S18" i="25"/>
  <c r="S17" i="25"/>
  <c r="S16" i="25"/>
  <c r="J16" i="25"/>
  <c r="S15" i="25"/>
  <c r="S14" i="25"/>
  <c r="S13" i="25"/>
  <c r="S12" i="25"/>
  <c r="S10" i="25"/>
  <c r="S8" i="25"/>
  <c r="S7" i="25"/>
  <c r="S6" i="25"/>
  <c r="S5" i="25"/>
  <c r="S4" i="25"/>
  <c r="AN32" i="22"/>
  <c r="AD26" i="25"/>
  <c r="AD27" i="25"/>
  <c r="AD28" i="25"/>
  <c r="AD29" i="25"/>
  <c r="AD20" i="25"/>
  <c r="AD19" i="25"/>
  <c r="AD17" i="25"/>
  <c r="AD16" i="25"/>
  <c r="H31" i="10"/>
  <c r="U30" i="12"/>
  <c r="AE30" i="12"/>
  <c r="G33" i="37"/>
  <c r="D33" i="37"/>
  <c r="B34" i="37" l="1"/>
  <c r="Q27" i="10"/>
  <c r="AU33" i="36" l="1"/>
  <c r="AT33" i="36"/>
  <c r="AQ33" i="36"/>
  <c r="AP33" i="36"/>
  <c r="AO33" i="36"/>
  <c r="AN33" i="36"/>
  <c r="AM33" i="36"/>
  <c r="AL33" i="36"/>
  <c r="AJ33" i="36"/>
  <c r="AI33" i="36"/>
  <c r="AH33" i="36"/>
  <c r="AF33" i="36"/>
  <c r="AE33" i="36"/>
  <c r="AD33" i="36"/>
  <c r="AC33" i="36"/>
  <c r="AB33" i="36"/>
  <c r="AA33" i="36"/>
  <c r="Z33" i="36"/>
  <c r="Y33" i="36"/>
  <c r="X33" i="36"/>
  <c r="V33" i="36"/>
  <c r="U33" i="36"/>
  <c r="T33" i="36"/>
  <c r="S33" i="36"/>
  <c r="R33" i="36"/>
  <c r="P33" i="36"/>
  <c r="O33" i="36"/>
  <c r="N33" i="36"/>
  <c r="M33" i="36"/>
  <c r="K33" i="36"/>
  <c r="J33" i="36"/>
  <c r="I33" i="36"/>
  <c r="H33" i="36"/>
  <c r="G33" i="36"/>
  <c r="E33" i="36"/>
  <c r="D33" i="36"/>
  <c r="C33" i="36"/>
  <c r="AU32" i="36"/>
  <c r="AT32" i="36"/>
  <c r="AQ32" i="36"/>
  <c r="AP32" i="36"/>
  <c r="AO32" i="36"/>
  <c r="AN32" i="36"/>
  <c r="AJ32" i="36"/>
  <c r="AI32" i="36"/>
  <c r="AH32" i="36"/>
  <c r="AF32" i="36"/>
  <c r="AE32" i="36"/>
  <c r="AD32" i="36"/>
  <c r="AC32" i="36"/>
  <c r="AB32" i="36"/>
  <c r="AA32" i="36"/>
  <c r="Z32" i="36"/>
  <c r="Y32" i="36"/>
  <c r="X32" i="36"/>
  <c r="V32" i="36"/>
  <c r="U32" i="36"/>
  <c r="T32" i="36"/>
  <c r="S32" i="36"/>
  <c r="R32" i="36"/>
  <c r="P32" i="36"/>
  <c r="O32" i="36"/>
  <c r="N32" i="36"/>
  <c r="M32" i="36"/>
  <c r="K32" i="36"/>
  <c r="J32" i="36"/>
  <c r="I32" i="36"/>
  <c r="H32" i="36"/>
  <c r="G32" i="36"/>
  <c r="E32" i="36"/>
  <c r="D32" i="36"/>
  <c r="C32" i="36"/>
  <c r="AR31" i="36"/>
  <c r="AK31" i="36"/>
  <c r="AR30" i="36"/>
  <c r="AV30" i="36" s="1"/>
  <c r="AK30" i="36"/>
  <c r="AG30" i="36"/>
  <c r="Q30" i="36"/>
  <c r="W30" i="36" s="1"/>
  <c r="L30" i="36"/>
  <c r="AW30" i="36" s="1"/>
  <c r="F30" i="36"/>
  <c r="AV29" i="36"/>
  <c r="AR29" i="36"/>
  <c r="AK29" i="36"/>
  <c r="AG29" i="36"/>
  <c r="W29" i="36"/>
  <c r="Q29" i="36"/>
  <c r="L29" i="36"/>
  <c r="AW29" i="36" s="1"/>
  <c r="F29" i="36"/>
  <c r="AR28" i="36"/>
  <c r="AV28" i="36" s="1"/>
  <c r="AK28" i="36"/>
  <c r="AG28" i="36"/>
  <c r="Q28" i="36"/>
  <c r="W28" i="36" s="1"/>
  <c r="AW28" i="36" s="1"/>
  <c r="L28" i="36"/>
  <c r="F28" i="36"/>
  <c r="AR27" i="36"/>
  <c r="AV27" i="36" s="1"/>
  <c r="AK27" i="36"/>
  <c r="AG27" i="36"/>
  <c r="Q27" i="36"/>
  <c r="W27" i="36" s="1"/>
  <c r="L27" i="36"/>
  <c r="AW27" i="36" s="1"/>
  <c r="AX27" i="36" s="1"/>
  <c r="F27" i="36"/>
  <c r="AR26" i="36"/>
  <c r="AV26" i="36" s="1"/>
  <c r="AK26" i="36"/>
  <c r="AG26" i="36"/>
  <c r="Q26" i="36"/>
  <c r="W26" i="36" s="1"/>
  <c r="AW26" i="36" s="1"/>
  <c r="L26" i="36"/>
  <c r="F26" i="36"/>
  <c r="AR25" i="36"/>
  <c r="AV25" i="36" s="1"/>
  <c r="AK25" i="36"/>
  <c r="AG25" i="36"/>
  <c r="Q25" i="36"/>
  <c r="W25" i="36" s="1"/>
  <c r="AW25" i="36" s="1"/>
  <c r="L25" i="36"/>
  <c r="F25" i="36"/>
  <c r="AR24" i="36"/>
  <c r="AV24" i="36" s="1"/>
  <c r="AK24" i="36"/>
  <c r="AG24" i="36"/>
  <c r="Q24" i="36"/>
  <c r="W24" i="36" s="1"/>
  <c r="L24" i="36"/>
  <c r="AW24" i="36" s="1"/>
  <c r="F24" i="36"/>
  <c r="AR23" i="36"/>
  <c r="AV23" i="36" s="1"/>
  <c r="AK23" i="36"/>
  <c r="AG23" i="36"/>
  <c r="Q23" i="36"/>
  <c r="W23" i="36" s="1"/>
  <c r="L23" i="36"/>
  <c r="AW23" i="36" s="1"/>
  <c r="F23" i="36"/>
  <c r="AR22" i="36"/>
  <c r="AV22" i="36" s="1"/>
  <c r="AK22" i="36"/>
  <c r="AG22" i="36"/>
  <c r="Q22" i="36"/>
  <c r="W22" i="36" s="1"/>
  <c r="AW22" i="36" s="1"/>
  <c r="L22" i="36"/>
  <c r="F22" i="36"/>
  <c r="AR21" i="36"/>
  <c r="AV21" i="36" s="1"/>
  <c r="AK21" i="36"/>
  <c r="AG21" i="36"/>
  <c r="Q21" i="36"/>
  <c r="W21" i="36" s="1"/>
  <c r="AW21" i="36" s="1"/>
  <c r="L21" i="36"/>
  <c r="F21" i="36"/>
  <c r="AR20" i="36"/>
  <c r="AV20" i="36" s="1"/>
  <c r="AK20" i="36"/>
  <c r="AG20" i="36"/>
  <c r="Q20" i="36"/>
  <c r="W20" i="36" s="1"/>
  <c r="L20" i="36"/>
  <c r="AW20" i="36" s="1"/>
  <c r="F20" i="36"/>
  <c r="AR19" i="36"/>
  <c r="AV19" i="36" s="1"/>
  <c r="AK19" i="36"/>
  <c r="AG19" i="36"/>
  <c r="Q19" i="36"/>
  <c r="W19" i="36" s="1"/>
  <c r="L19" i="36"/>
  <c r="AW19" i="36" s="1"/>
  <c r="F19" i="36"/>
  <c r="AR18" i="36"/>
  <c r="AV18" i="36" s="1"/>
  <c r="AK18" i="36"/>
  <c r="AG18" i="36"/>
  <c r="Q18" i="36"/>
  <c r="W18" i="36" s="1"/>
  <c r="AW18" i="36" s="1"/>
  <c r="L18" i="36"/>
  <c r="F18" i="36"/>
  <c r="AR17" i="36"/>
  <c r="AV17" i="36" s="1"/>
  <c r="AK17" i="36"/>
  <c r="AG17" i="36"/>
  <c r="Q17" i="36"/>
  <c r="W17" i="36" s="1"/>
  <c r="AW17" i="36" s="1"/>
  <c r="L17" i="36"/>
  <c r="F17" i="36"/>
  <c r="AR16" i="36"/>
  <c r="AV16" i="36" s="1"/>
  <c r="AK16" i="36"/>
  <c r="AG16" i="36"/>
  <c r="Q16" i="36"/>
  <c r="W16" i="36" s="1"/>
  <c r="L16" i="36"/>
  <c r="AW16" i="36" s="1"/>
  <c r="F16" i="36"/>
  <c r="AR15" i="36"/>
  <c r="AV15" i="36" s="1"/>
  <c r="AK15" i="36"/>
  <c r="AG15" i="36"/>
  <c r="Q15" i="36"/>
  <c r="W15" i="36" s="1"/>
  <c r="L15" i="36"/>
  <c r="AW15" i="36" s="1"/>
  <c r="F15" i="36"/>
  <c r="AR14" i="36"/>
  <c r="AV14" i="36" s="1"/>
  <c r="AK14" i="36"/>
  <c r="AG14" i="36"/>
  <c r="Q14" i="36"/>
  <c r="W14" i="36" s="1"/>
  <c r="AW14" i="36" s="1"/>
  <c r="L14" i="36"/>
  <c r="F14" i="36"/>
  <c r="AR13" i="36"/>
  <c r="AV13" i="36" s="1"/>
  <c r="AK13" i="36"/>
  <c r="AG13" i="36"/>
  <c r="Q13" i="36"/>
  <c r="W13" i="36" s="1"/>
  <c r="AW13" i="36" s="1"/>
  <c r="L13" i="36"/>
  <c r="F13" i="36"/>
  <c r="AR12" i="36"/>
  <c r="AV12" i="36" s="1"/>
  <c r="AK12" i="36"/>
  <c r="AG12" i="36"/>
  <c r="Q12" i="36"/>
  <c r="W12" i="36" s="1"/>
  <c r="L12" i="36"/>
  <c r="AW12" i="36" s="1"/>
  <c r="F12" i="36"/>
  <c r="AR11" i="36"/>
  <c r="AV11" i="36" s="1"/>
  <c r="AK11" i="36"/>
  <c r="AG11" i="36"/>
  <c r="Q11" i="36"/>
  <c r="W11" i="36" s="1"/>
  <c r="L11" i="36"/>
  <c r="AW11" i="36" s="1"/>
  <c r="F11" i="36"/>
  <c r="AR10" i="36"/>
  <c r="AV10" i="36" s="1"/>
  <c r="AK10" i="36"/>
  <c r="AG10" i="36"/>
  <c r="Q10" i="36"/>
  <c r="W10" i="36" s="1"/>
  <c r="AW10" i="36" s="1"/>
  <c r="L10" i="36"/>
  <c r="F10" i="36"/>
  <c r="AR9" i="36"/>
  <c r="AV9" i="36" s="1"/>
  <c r="AK9" i="36"/>
  <c r="AG9" i="36"/>
  <c r="Q9" i="36"/>
  <c r="W9" i="36" s="1"/>
  <c r="AW9" i="36" s="1"/>
  <c r="L9" i="36"/>
  <c r="F9" i="36"/>
  <c r="AR8" i="36"/>
  <c r="AV8" i="36" s="1"/>
  <c r="AK8" i="36"/>
  <c r="AG8" i="36"/>
  <c r="Q8" i="36"/>
  <c r="W8" i="36" s="1"/>
  <c r="L8" i="36"/>
  <c r="AW8" i="36" s="1"/>
  <c r="F8" i="36"/>
  <c r="AR7" i="36"/>
  <c r="AV7" i="36" s="1"/>
  <c r="AK7" i="36"/>
  <c r="AG7" i="36"/>
  <c r="Q7" i="36"/>
  <c r="W7" i="36" s="1"/>
  <c r="L7" i="36"/>
  <c r="AW7" i="36" s="1"/>
  <c r="F7" i="36"/>
  <c r="AR6" i="36"/>
  <c r="AV6" i="36" s="1"/>
  <c r="AK6" i="36"/>
  <c r="AG6" i="36"/>
  <c r="Q6" i="36"/>
  <c r="W6" i="36" s="1"/>
  <c r="AW6" i="36" s="1"/>
  <c r="L6" i="36"/>
  <c r="F6" i="36"/>
  <c r="AR5" i="36"/>
  <c r="AV5" i="36" s="1"/>
  <c r="AK5" i="36"/>
  <c r="AG5" i="36"/>
  <c r="Q5" i="36"/>
  <c r="W5" i="36" s="1"/>
  <c r="AW5" i="36" s="1"/>
  <c r="L5" i="36"/>
  <c r="F5" i="36"/>
  <c r="AR4" i="36"/>
  <c r="AK4" i="36"/>
  <c r="AG4" i="36"/>
  <c r="Q4" i="36"/>
  <c r="W4" i="36" s="1"/>
  <c r="L4" i="36"/>
  <c r="F4" i="36"/>
  <c r="AG3" i="36"/>
  <c r="AX5" i="36" l="1"/>
  <c r="AX7" i="36"/>
  <c r="AX9" i="36"/>
  <c r="AX11" i="36"/>
  <c r="AX13" i="36"/>
  <c r="AX17" i="36"/>
  <c r="AX21" i="36"/>
  <c r="AX25" i="36"/>
  <c r="AX10" i="36"/>
  <c r="AX28" i="36"/>
  <c r="AX8" i="36"/>
  <c r="AX16" i="36"/>
  <c r="AX24" i="36"/>
  <c r="AX6" i="36"/>
  <c r="AX12" i="36"/>
  <c r="AX20" i="36"/>
  <c r="W33" i="36"/>
  <c r="W32" i="36"/>
  <c r="AX14" i="36"/>
  <c r="AX15" i="36"/>
  <c r="AX18" i="36"/>
  <c r="AX19" i="36"/>
  <c r="AX22" i="36"/>
  <c r="AX23" i="36"/>
  <c r="AX26" i="36"/>
  <c r="L33" i="36"/>
  <c r="L32" i="36"/>
  <c r="AR33" i="36"/>
  <c r="AR32" i="36"/>
  <c r="AX29" i="36"/>
  <c r="F33" i="36"/>
  <c r="F32" i="36"/>
  <c r="AG33" i="36"/>
  <c r="AG32" i="36"/>
  <c r="AV4" i="36"/>
  <c r="AK33" i="36"/>
  <c r="AK32" i="36"/>
  <c r="AX30" i="36"/>
  <c r="Q33" i="36"/>
  <c r="Q32" i="36"/>
  <c r="C34" i="36"/>
  <c r="C35" i="36" s="1"/>
  <c r="C36" i="36" s="1"/>
  <c r="C37" i="36" s="1"/>
  <c r="C38" i="36" s="1"/>
  <c r="G34" i="36"/>
  <c r="G35" i="36" s="1"/>
  <c r="G36" i="36" s="1"/>
  <c r="G37" i="36" s="1"/>
  <c r="G38" i="36" s="1"/>
  <c r="K34" i="36"/>
  <c r="K35" i="36" s="1"/>
  <c r="K36" i="36" s="1"/>
  <c r="K37" i="36" s="1"/>
  <c r="K38" i="36" s="1"/>
  <c r="O34" i="36"/>
  <c r="O35" i="36" s="1"/>
  <c r="O36" i="36" s="1"/>
  <c r="O37" i="36" s="1"/>
  <c r="O38" i="36" s="1"/>
  <c r="S34" i="36"/>
  <c r="S35" i="36" s="1"/>
  <c r="S36" i="36" s="1"/>
  <c r="S37" i="36" s="1"/>
  <c r="S38" i="36" s="1"/>
  <c r="AA34" i="36"/>
  <c r="AA35" i="36" s="1"/>
  <c r="AA36" i="36" s="1"/>
  <c r="AA37" i="36" s="1"/>
  <c r="AA38" i="36" s="1"/>
  <c r="AE34" i="36"/>
  <c r="AE35" i="36" s="1"/>
  <c r="AE36" i="36" s="1"/>
  <c r="AE37" i="36" s="1"/>
  <c r="AE38" i="36" s="1"/>
  <c r="AI34" i="36"/>
  <c r="AI35" i="36" s="1"/>
  <c r="AI36" i="36" s="1"/>
  <c r="AI37" i="36" s="1"/>
  <c r="AI38" i="36" s="1"/>
  <c r="AM34" i="36"/>
  <c r="AM35" i="36" s="1"/>
  <c r="AM36" i="36" s="1"/>
  <c r="AM37" i="36" s="1"/>
  <c r="AM38" i="36" s="1"/>
  <c r="AQ34" i="36"/>
  <c r="AQ35" i="36" s="1"/>
  <c r="AQ36" i="36" s="1"/>
  <c r="AQ37" i="36" s="1"/>
  <c r="AQ38" i="36" s="1"/>
  <c r="AU34" i="36"/>
  <c r="AU35" i="36" s="1"/>
  <c r="AU36" i="36" s="1"/>
  <c r="AU37" i="36" s="1"/>
  <c r="AU38" i="36" s="1"/>
  <c r="D34" i="36"/>
  <c r="D35" i="36" s="1"/>
  <c r="D36" i="36" s="1"/>
  <c r="D37" i="36" s="1"/>
  <c r="D38" i="36" s="1"/>
  <c r="H34" i="36"/>
  <c r="H35" i="36" s="1"/>
  <c r="H36" i="36" s="1"/>
  <c r="H37" i="36" s="1"/>
  <c r="H38" i="36" s="1"/>
  <c r="P34" i="36"/>
  <c r="P35" i="36" s="1"/>
  <c r="P36" i="36" s="1"/>
  <c r="P37" i="36" s="1"/>
  <c r="P38" i="36" s="1"/>
  <c r="T34" i="36"/>
  <c r="T35" i="36" s="1"/>
  <c r="T36" i="36" s="1"/>
  <c r="T37" i="36" s="1"/>
  <c r="T38" i="36" s="1"/>
  <c r="X34" i="36"/>
  <c r="X35" i="36" s="1"/>
  <c r="X36" i="36" s="1"/>
  <c r="X37" i="36" s="1"/>
  <c r="X38" i="36" s="1"/>
  <c r="AB34" i="36"/>
  <c r="AB35" i="36" s="1"/>
  <c r="AB36" i="36" s="1"/>
  <c r="AB37" i="36" s="1"/>
  <c r="AB38" i="36" s="1"/>
  <c r="AF34" i="36"/>
  <c r="AF35" i="36" s="1"/>
  <c r="AF36" i="36" s="1"/>
  <c r="AF37" i="36" s="1"/>
  <c r="AF38" i="36" s="1"/>
  <c r="AJ34" i="36"/>
  <c r="AJ35" i="36" s="1"/>
  <c r="AJ36" i="36" s="1"/>
  <c r="AJ37" i="36" s="1"/>
  <c r="AJ38" i="36" s="1"/>
  <c r="AN34" i="36"/>
  <c r="AN35" i="36" s="1"/>
  <c r="AN36" i="36" s="1"/>
  <c r="AN37" i="36" s="1"/>
  <c r="AN38" i="36" s="1"/>
  <c r="E34" i="36"/>
  <c r="E35" i="36" s="1"/>
  <c r="E36" i="36" s="1"/>
  <c r="E37" i="36" s="1"/>
  <c r="E38" i="36" s="1"/>
  <c r="I34" i="36"/>
  <c r="I35" i="36" s="1"/>
  <c r="I36" i="36" s="1"/>
  <c r="I37" i="36" s="1"/>
  <c r="I38" i="36" s="1"/>
  <c r="M34" i="36"/>
  <c r="M35" i="36" s="1"/>
  <c r="M36" i="36" s="1"/>
  <c r="M37" i="36" s="1"/>
  <c r="M38" i="36" s="1"/>
  <c r="U34" i="36"/>
  <c r="U35" i="36" s="1"/>
  <c r="U36" i="36" s="1"/>
  <c r="U37" i="36" s="1"/>
  <c r="U38" i="36" s="1"/>
  <c r="Y34" i="36"/>
  <c r="Y35" i="36" s="1"/>
  <c r="Y36" i="36" s="1"/>
  <c r="Y37" i="36" s="1"/>
  <c r="Y38" i="36" s="1"/>
  <c r="AC34" i="36"/>
  <c r="AC35" i="36" s="1"/>
  <c r="AC36" i="36" s="1"/>
  <c r="AC37" i="36" s="1"/>
  <c r="AC38" i="36" s="1"/>
  <c r="AO34" i="36"/>
  <c r="AO35" i="36" s="1"/>
  <c r="AO36" i="36" s="1"/>
  <c r="AO37" i="36" s="1"/>
  <c r="AO38" i="36" s="1"/>
  <c r="J34" i="36"/>
  <c r="J35" i="36" s="1"/>
  <c r="J36" i="36" s="1"/>
  <c r="J37" i="36" s="1"/>
  <c r="J38" i="36" s="1"/>
  <c r="N34" i="36"/>
  <c r="N35" i="36" s="1"/>
  <c r="N36" i="36" s="1"/>
  <c r="N37" i="36" s="1"/>
  <c r="N38" i="36" s="1"/>
  <c r="R34" i="36"/>
  <c r="R35" i="36" s="1"/>
  <c r="R36" i="36" s="1"/>
  <c r="R37" i="36" s="1"/>
  <c r="R38" i="36" s="1"/>
  <c r="V34" i="36"/>
  <c r="V35" i="36" s="1"/>
  <c r="V36" i="36" s="1"/>
  <c r="V37" i="36" s="1"/>
  <c r="V38" i="36" s="1"/>
  <c r="Z34" i="36"/>
  <c r="Z35" i="36" s="1"/>
  <c r="Z36" i="36" s="1"/>
  <c r="Z37" i="36" s="1"/>
  <c r="Z38" i="36" s="1"/>
  <c r="AD34" i="36"/>
  <c r="AD35" i="36" s="1"/>
  <c r="AD36" i="36" s="1"/>
  <c r="AD37" i="36" s="1"/>
  <c r="AD38" i="36" s="1"/>
  <c r="AH34" i="36"/>
  <c r="AH35" i="36" s="1"/>
  <c r="AH36" i="36" s="1"/>
  <c r="AH37" i="36" s="1"/>
  <c r="AH38" i="36" s="1"/>
  <c r="AL34" i="36"/>
  <c r="AL35" i="36" s="1"/>
  <c r="AL36" i="36" s="1"/>
  <c r="AL37" i="36" s="1"/>
  <c r="AL38" i="36" s="1"/>
  <c r="AP34" i="36"/>
  <c r="AP35" i="36" s="1"/>
  <c r="AP36" i="36" s="1"/>
  <c r="AP37" i="36" s="1"/>
  <c r="AP38" i="36" s="1"/>
  <c r="AT34" i="36"/>
  <c r="AT35" i="36" s="1"/>
  <c r="AT36" i="36" s="1"/>
  <c r="AT37" i="36" s="1"/>
  <c r="AT38" i="36" s="1"/>
  <c r="AJ39" i="36" l="1"/>
  <c r="R39" i="36"/>
  <c r="AI39" i="36"/>
  <c r="P39" i="36"/>
  <c r="AH39" i="36"/>
  <c r="O39" i="36"/>
  <c r="AP39" i="36"/>
  <c r="X39" i="36"/>
  <c r="D39" i="36"/>
  <c r="AR34" i="36"/>
  <c r="AR35" i="36" s="1"/>
  <c r="AR36" i="36" s="1"/>
  <c r="AR37" i="36" s="1"/>
  <c r="AR38" i="36" s="1"/>
  <c r="AE39" i="36"/>
  <c r="M39" i="36"/>
  <c r="Q34" i="36"/>
  <c r="Q35" i="36" s="1"/>
  <c r="Q36" i="36" s="1"/>
  <c r="Q37" i="36" s="1"/>
  <c r="Q38" i="36" s="1"/>
  <c r="AD39" i="36"/>
  <c r="K39" i="36"/>
  <c r="AK34" i="36"/>
  <c r="AK35" i="36" s="1"/>
  <c r="AK36" i="36" s="1"/>
  <c r="AK37" i="36" s="1"/>
  <c r="AK38" i="36" s="1"/>
  <c r="AC39" i="36"/>
  <c r="J39" i="36"/>
  <c r="AG34" i="36"/>
  <c r="AG35" i="36" s="1"/>
  <c r="AG36" i="36" s="1"/>
  <c r="AG37" i="36" s="1"/>
  <c r="AG38" i="36" s="1"/>
  <c r="AL39" i="36"/>
  <c r="S39" i="36"/>
  <c r="AU39" i="36"/>
  <c r="AA39" i="36"/>
  <c r="H39" i="36"/>
  <c r="AT39" i="36"/>
  <c r="Z39" i="36"/>
  <c r="G39" i="36"/>
  <c r="AQ39" i="36"/>
  <c r="Y39" i="36"/>
  <c r="E39" i="36"/>
  <c r="AF39" i="36"/>
  <c r="N39" i="36"/>
  <c r="AS33" i="36"/>
  <c r="AS32" i="36"/>
  <c r="AW4" i="36"/>
  <c r="AX4" i="36" s="1"/>
  <c r="L34" i="36"/>
  <c r="L35" i="36" s="1"/>
  <c r="L36" i="36" s="1"/>
  <c r="L37" i="36" s="1"/>
  <c r="L38" i="36" s="1"/>
  <c r="AO39" i="36"/>
  <c r="V39" i="36"/>
  <c r="C39" i="36"/>
  <c r="AN39" i="36"/>
  <c r="U39" i="36"/>
  <c r="AM39" i="36"/>
  <c r="T39" i="36"/>
  <c r="AV33" i="36"/>
  <c r="AV32" i="36"/>
  <c r="F34" i="36"/>
  <c r="F35" i="36" s="1"/>
  <c r="F36" i="36" s="1"/>
  <c r="F37" i="36" s="1"/>
  <c r="F38" i="36" s="1"/>
  <c r="AB39" i="36"/>
  <c r="I39" i="36"/>
  <c r="W34" i="36"/>
  <c r="W35" i="36" s="1"/>
  <c r="W36" i="36" s="1"/>
  <c r="W37" i="36" s="1"/>
  <c r="W38" i="36" s="1"/>
  <c r="W39" i="36" l="1"/>
  <c r="F39" i="36"/>
  <c r="L39" i="36"/>
  <c r="AG39" i="36"/>
  <c r="AK39" i="36"/>
  <c r="Q39" i="36"/>
  <c r="AR39" i="36"/>
  <c r="AX33" i="36"/>
  <c r="AX32" i="36"/>
  <c r="AW33" i="36"/>
  <c r="AW32" i="36"/>
  <c r="AV34" i="36"/>
  <c r="AV35" i="36" s="1"/>
  <c r="AV36" i="36" s="1"/>
  <c r="AV37" i="36" s="1"/>
  <c r="AV38" i="36" s="1"/>
  <c r="AS34" i="36"/>
  <c r="AS35" i="36" s="1"/>
  <c r="AS36" i="36" s="1"/>
  <c r="AS37" i="36" s="1"/>
  <c r="AS38" i="36" s="1"/>
  <c r="AX34" i="36" l="1"/>
  <c r="AX35" i="36" s="1"/>
  <c r="AX36" i="36" s="1"/>
  <c r="AX37" i="36" s="1"/>
  <c r="AX38" i="36" s="1"/>
  <c r="AV39" i="36"/>
  <c r="AS39" i="36"/>
  <c r="AW34" i="36"/>
  <c r="AW35" i="36" s="1"/>
  <c r="AW36" i="36" s="1"/>
  <c r="AW37" i="36" s="1"/>
  <c r="AW38" i="36" s="1"/>
  <c r="AW39" i="36" l="1"/>
  <c r="AX39" i="36"/>
  <c r="AR5" i="22"/>
  <c r="AR6" i="22"/>
  <c r="AR7" i="22"/>
  <c r="AR8" i="22"/>
  <c r="AR9" i="22"/>
  <c r="AR10" i="22"/>
  <c r="AR11" i="22"/>
  <c r="AR12" i="22"/>
  <c r="AR13" i="22"/>
  <c r="AR14" i="22"/>
  <c r="AR15" i="22"/>
  <c r="AR16" i="22"/>
  <c r="AR17" i="22"/>
  <c r="AR18" i="22"/>
  <c r="AR19" i="22"/>
  <c r="AR20" i="22"/>
  <c r="AR21" i="22"/>
  <c r="AR22" i="22"/>
  <c r="AR23" i="22"/>
  <c r="AR24" i="22"/>
  <c r="AR25" i="22"/>
  <c r="AR26" i="22"/>
  <c r="AR27" i="22"/>
  <c r="AR28" i="22"/>
  <c r="AR29" i="22"/>
  <c r="AR30" i="22"/>
  <c r="AR31" i="22"/>
  <c r="AR4" i="22"/>
  <c r="AQ5" i="35"/>
  <c r="AQ6" i="35"/>
  <c r="AQ7" i="35"/>
  <c r="AQ8" i="35"/>
  <c r="AQ9" i="35"/>
  <c r="AQ10" i="35"/>
  <c r="AQ11" i="35"/>
  <c r="AQ12" i="35"/>
  <c r="AQ13" i="35"/>
  <c r="AQ14" i="35"/>
  <c r="AQ15" i="35"/>
  <c r="AQ16" i="35"/>
  <c r="AQ17" i="35"/>
  <c r="AQ18" i="35"/>
  <c r="AQ19" i="35"/>
  <c r="AQ20" i="35"/>
  <c r="AQ21" i="35"/>
  <c r="AQ22" i="35"/>
  <c r="AQ23" i="35"/>
  <c r="AQ24" i="35"/>
  <c r="AQ25" i="35"/>
  <c r="AQ26" i="35"/>
  <c r="AQ27" i="35"/>
  <c r="AQ28" i="35"/>
  <c r="AQ29" i="35"/>
  <c r="AQ4" i="35"/>
  <c r="D32" i="35"/>
  <c r="E32" i="35"/>
  <c r="F32" i="35"/>
  <c r="G32" i="35"/>
  <c r="H32" i="35"/>
  <c r="I32" i="35"/>
  <c r="J32" i="35"/>
  <c r="K32" i="35"/>
  <c r="M32" i="35"/>
  <c r="N32" i="35"/>
  <c r="O32" i="35"/>
  <c r="P32" i="35"/>
  <c r="Q32" i="35"/>
  <c r="R32" i="35"/>
  <c r="S32" i="35"/>
  <c r="T32" i="35"/>
  <c r="U32" i="35"/>
  <c r="X32" i="35"/>
  <c r="Y32" i="35"/>
  <c r="Z32" i="35"/>
  <c r="AA32" i="35"/>
  <c r="AB32" i="35"/>
  <c r="AC32" i="35"/>
  <c r="AD32" i="35"/>
  <c r="AE32" i="35"/>
  <c r="AF32" i="35"/>
  <c r="AH32" i="35"/>
  <c r="AI32" i="35"/>
  <c r="AJ32" i="35"/>
  <c r="AK32" i="35"/>
  <c r="AL32" i="35"/>
  <c r="AM32" i="35"/>
  <c r="AN32" i="35"/>
  <c r="AO32" i="35"/>
  <c r="AP32" i="35"/>
  <c r="AT32" i="35"/>
  <c r="AU32" i="35"/>
  <c r="AT33" i="35"/>
  <c r="AT34" i="35" s="1"/>
  <c r="AU33" i="35"/>
  <c r="AU34" i="35" s="1"/>
  <c r="AU35" i="35" s="1"/>
  <c r="AU36" i="35" s="1"/>
  <c r="AY26" i="35"/>
  <c r="K30" i="26"/>
  <c r="T30" i="26"/>
  <c r="T9" i="26"/>
  <c r="T10" i="26"/>
  <c r="T11" i="26"/>
  <c r="T12" i="26"/>
  <c r="T13" i="26"/>
  <c r="T14" i="26"/>
  <c r="T15" i="26"/>
  <c r="T16" i="26"/>
  <c r="T17" i="26"/>
  <c r="T18" i="26"/>
  <c r="T19" i="26"/>
  <c r="T20" i="26"/>
  <c r="T21" i="26"/>
  <c r="T22" i="26"/>
  <c r="T23" i="26"/>
  <c r="T24" i="26"/>
  <c r="T25" i="26"/>
  <c r="T26" i="26"/>
  <c r="T27" i="26"/>
  <c r="T28" i="26"/>
  <c r="T29" i="26"/>
  <c r="T8" i="26"/>
  <c r="T4" i="26"/>
  <c r="T5" i="26"/>
  <c r="T6" i="26"/>
  <c r="T7" i="26"/>
  <c r="T3" i="26"/>
  <c r="V32" i="35" l="1"/>
  <c r="AQ32" i="35"/>
  <c r="AT35" i="35"/>
  <c r="AT36" i="35" s="1"/>
  <c r="AT37" i="35" s="1"/>
  <c r="AT38" i="35" s="1"/>
  <c r="AU37" i="35"/>
  <c r="AU38" i="35" s="1"/>
  <c r="R17" i="18"/>
  <c r="AU39" i="35" l="1"/>
  <c r="AT39" i="35"/>
  <c r="Q24" i="10"/>
  <c r="G31" i="10" l="1"/>
  <c r="AU33" i="22" l="1"/>
  <c r="AU34" i="22" s="1"/>
  <c r="AU35" i="22" s="1"/>
  <c r="AU36" i="22" s="1"/>
  <c r="AU37" i="22" s="1"/>
  <c r="AU38" i="22" s="1"/>
  <c r="AT33" i="22"/>
  <c r="AT34" i="22" s="1"/>
  <c r="AT35" i="22" s="1"/>
  <c r="AT36" i="22" s="1"/>
  <c r="AT37" i="22" s="1"/>
  <c r="AT38" i="22" s="1"/>
  <c r="AQ33" i="22"/>
  <c r="AQ34" i="22" s="1"/>
  <c r="AQ35" i="22" s="1"/>
  <c r="AQ36" i="22" s="1"/>
  <c r="AQ37" i="22" s="1"/>
  <c r="AQ38" i="22" s="1"/>
  <c r="AP33" i="22"/>
  <c r="AP34" i="22" s="1"/>
  <c r="AP35" i="22" s="1"/>
  <c r="AP36" i="22" s="1"/>
  <c r="AP37" i="22" s="1"/>
  <c r="AP38" i="22" s="1"/>
  <c r="AO33" i="22"/>
  <c r="AO34" i="22" s="1"/>
  <c r="AO35" i="22" s="1"/>
  <c r="AO36" i="22" s="1"/>
  <c r="AO37" i="22" s="1"/>
  <c r="AO38" i="22" s="1"/>
  <c r="AN33" i="22"/>
  <c r="AN34" i="22" s="1"/>
  <c r="AN35" i="22" s="1"/>
  <c r="AN36" i="22" s="1"/>
  <c r="AN37" i="22" s="1"/>
  <c r="AN38" i="22" s="1"/>
  <c r="AM33" i="22"/>
  <c r="AM34" i="22" s="1"/>
  <c r="AM35" i="22" s="1"/>
  <c r="AM36" i="22" s="1"/>
  <c r="AM37" i="22" s="1"/>
  <c r="AM38" i="22" s="1"/>
  <c r="AL33" i="22"/>
  <c r="AL34" i="22" s="1"/>
  <c r="AL35" i="22" s="1"/>
  <c r="AL36" i="22" s="1"/>
  <c r="AL37" i="22" s="1"/>
  <c r="AL38" i="22" s="1"/>
  <c r="AK33" i="22"/>
  <c r="AK34" i="22" s="1"/>
  <c r="AK35" i="22" s="1"/>
  <c r="AK36" i="22" s="1"/>
  <c r="AK37" i="22" s="1"/>
  <c r="AK38" i="22" s="1"/>
  <c r="AJ33" i="22"/>
  <c r="AJ34" i="22" s="1"/>
  <c r="AJ35" i="22" s="1"/>
  <c r="AJ36" i="22" s="1"/>
  <c r="AJ37" i="22" s="1"/>
  <c r="AJ38" i="22" s="1"/>
  <c r="AI33" i="22"/>
  <c r="AI34" i="22" s="1"/>
  <c r="AI35" i="22" s="1"/>
  <c r="AI36" i="22" s="1"/>
  <c r="AI37" i="22" s="1"/>
  <c r="AI38" i="22" s="1"/>
  <c r="AH33" i="22"/>
  <c r="AH34" i="22" s="1"/>
  <c r="AH35" i="22" s="1"/>
  <c r="AH36" i="22" s="1"/>
  <c r="AH37" i="22" s="1"/>
  <c r="AH38" i="22" s="1"/>
  <c r="AG33" i="22"/>
  <c r="AG34" i="22" s="1"/>
  <c r="AG35" i="22" s="1"/>
  <c r="AG36" i="22" s="1"/>
  <c r="AG37" i="22" s="1"/>
  <c r="AG38" i="22" s="1"/>
  <c r="AF33" i="22"/>
  <c r="AF34" i="22" s="1"/>
  <c r="AF35" i="22" s="1"/>
  <c r="AF36" i="22" s="1"/>
  <c r="AF37" i="22" s="1"/>
  <c r="AF38" i="22" s="1"/>
  <c r="AE33" i="22"/>
  <c r="AE34" i="22" s="1"/>
  <c r="AE35" i="22" s="1"/>
  <c r="AE36" i="22" s="1"/>
  <c r="AE37" i="22" s="1"/>
  <c r="AE38" i="22" s="1"/>
  <c r="AD33" i="22"/>
  <c r="AD34" i="22" s="1"/>
  <c r="AD35" i="22" s="1"/>
  <c r="AD36" i="22" s="1"/>
  <c r="AD37" i="22" s="1"/>
  <c r="AD38" i="22" s="1"/>
  <c r="AC33" i="22"/>
  <c r="AC34" i="22" s="1"/>
  <c r="AC35" i="22" s="1"/>
  <c r="AC36" i="22" s="1"/>
  <c r="AC37" i="22" s="1"/>
  <c r="AC38" i="22" s="1"/>
  <c r="AB33" i="22"/>
  <c r="AB34" i="22" s="1"/>
  <c r="AB35" i="22" s="1"/>
  <c r="AB36" i="22" s="1"/>
  <c r="AB37" i="22" s="1"/>
  <c r="AB38" i="22" s="1"/>
  <c r="AA33" i="22"/>
  <c r="AA34" i="22" s="1"/>
  <c r="AA35" i="22" s="1"/>
  <c r="AA36" i="22" s="1"/>
  <c r="AA37" i="22" s="1"/>
  <c r="AA38" i="22" s="1"/>
  <c r="Z33" i="22"/>
  <c r="Z34" i="22" s="1"/>
  <c r="Z35" i="22" s="1"/>
  <c r="Z36" i="22" s="1"/>
  <c r="Z37" i="22" s="1"/>
  <c r="Z38" i="22" s="1"/>
  <c r="Y33" i="22"/>
  <c r="Y34" i="22" s="1"/>
  <c r="Y35" i="22" s="1"/>
  <c r="Y36" i="22" s="1"/>
  <c r="Y37" i="22" s="1"/>
  <c r="Y38" i="22" s="1"/>
  <c r="X33" i="22"/>
  <c r="X34" i="22" s="1"/>
  <c r="X35" i="22" s="1"/>
  <c r="X36" i="22" s="1"/>
  <c r="X37" i="22" s="1"/>
  <c r="X38" i="22" s="1"/>
  <c r="W33" i="22"/>
  <c r="W34" i="22" s="1"/>
  <c r="W35" i="22" s="1"/>
  <c r="W36" i="22" s="1"/>
  <c r="W37" i="22" s="1"/>
  <c r="W38" i="22" s="1"/>
  <c r="V33" i="22"/>
  <c r="V34" i="22" s="1"/>
  <c r="V35" i="22" s="1"/>
  <c r="V36" i="22" s="1"/>
  <c r="V37" i="22" s="1"/>
  <c r="V38" i="22" s="1"/>
  <c r="U33" i="22"/>
  <c r="U34" i="22" s="1"/>
  <c r="U35" i="22" s="1"/>
  <c r="U36" i="22" s="1"/>
  <c r="U37" i="22" s="1"/>
  <c r="U38" i="22" s="1"/>
  <c r="T33" i="22"/>
  <c r="T34" i="22" s="1"/>
  <c r="T35" i="22" s="1"/>
  <c r="T36" i="22" s="1"/>
  <c r="T37" i="22" s="1"/>
  <c r="T38" i="22" s="1"/>
  <c r="S33" i="22"/>
  <c r="S34" i="22" s="1"/>
  <c r="S35" i="22" s="1"/>
  <c r="S36" i="22" s="1"/>
  <c r="S37" i="22" s="1"/>
  <c r="S38" i="22" s="1"/>
  <c r="R33" i="22"/>
  <c r="R34" i="22" s="1"/>
  <c r="R35" i="22" s="1"/>
  <c r="R36" i="22" s="1"/>
  <c r="R37" i="22" s="1"/>
  <c r="R38" i="22" s="1"/>
  <c r="Q33" i="22"/>
  <c r="Q34" i="22" s="1"/>
  <c r="Q35" i="22" s="1"/>
  <c r="Q36" i="22" s="1"/>
  <c r="Q37" i="22" s="1"/>
  <c r="Q38" i="22" s="1"/>
  <c r="P33" i="22"/>
  <c r="P34" i="22" s="1"/>
  <c r="P35" i="22" s="1"/>
  <c r="P36" i="22" s="1"/>
  <c r="P37" i="22" s="1"/>
  <c r="P38" i="22" s="1"/>
  <c r="O33" i="22"/>
  <c r="O34" i="22" s="1"/>
  <c r="O35" i="22" s="1"/>
  <c r="O36" i="22" s="1"/>
  <c r="O37" i="22" s="1"/>
  <c r="O38" i="22" s="1"/>
  <c r="N33" i="22"/>
  <c r="N34" i="22" s="1"/>
  <c r="N35" i="22" s="1"/>
  <c r="N36" i="22" s="1"/>
  <c r="N37" i="22" s="1"/>
  <c r="N38" i="22" s="1"/>
  <c r="M33" i="22"/>
  <c r="M34" i="22" s="1"/>
  <c r="M35" i="22" s="1"/>
  <c r="M36" i="22" s="1"/>
  <c r="M37" i="22" s="1"/>
  <c r="M38" i="22" s="1"/>
  <c r="L33" i="22"/>
  <c r="L34" i="22" s="1"/>
  <c r="L35" i="22" s="1"/>
  <c r="L36" i="22" s="1"/>
  <c r="L37" i="22" s="1"/>
  <c r="L38" i="22" s="1"/>
  <c r="K33" i="22"/>
  <c r="K34" i="22" s="1"/>
  <c r="K35" i="22" s="1"/>
  <c r="K36" i="22" s="1"/>
  <c r="K37" i="22" s="1"/>
  <c r="K38" i="22" s="1"/>
  <c r="J33" i="22"/>
  <c r="J34" i="22" s="1"/>
  <c r="J35" i="22" s="1"/>
  <c r="J36" i="22" s="1"/>
  <c r="J37" i="22" s="1"/>
  <c r="J38" i="22" s="1"/>
  <c r="I33" i="22"/>
  <c r="I34" i="22" s="1"/>
  <c r="I35" i="22" s="1"/>
  <c r="I36" i="22" s="1"/>
  <c r="I37" i="22" s="1"/>
  <c r="I38" i="22" s="1"/>
  <c r="H33" i="22"/>
  <c r="H34" i="22" s="1"/>
  <c r="H35" i="22" s="1"/>
  <c r="H36" i="22" s="1"/>
  <c r="H37" i="22" s="1"/>
  <c r="H38" i="22" s="1"/>
  <c r="G33" i="22"/>
  <c r="G34" i="22" s="1"/>
  <c r="G35" i="22" s="1"/>
  <c r="G36" i="22" s="1"/>
  <c r="G37" i="22" s="1"/>
  <c r="G38" i="22" s="1"/>
  <c r="F33" i="22"/>
  <c r="F34" i="22" s="1"/>
  <c r="F35" i="22" s="1"/>
  <c r="F36" i="22" s="1"/>
  <c r="F37" i="22" s="1"/>
  <c r="F38" i="22" s="1"/>
  <c r="E33" i="22"/>
  <c r="E34" i="22" s="1"/>
  <c r="E35" i="22" s="1"/>
  <c r="E36" i="22" s="1"/>
  <c r="E37" i="22" s="1"/>
  <c r="E38" i="22" s="1"/>
  <c r="D33" i="22"/>
  <c r="D34" i="22" s="1"/>
  <c r="D35" i="22" s="1"/>
  <c r="D36" i="22" s="1"/>
  <c r="D37" i="22" s="1"/>
  <c r="D38" i="22" s="1"/>
  <c r="C33" i="22"/>
  <c r="C34" i="22" s="1"/>
  <c r="C35" i="22" s="1"/>
  <c r="C36" i="22" s="1"/>
  <c r="C37" i="22" s="1"/>
  <c r="C38" i="22" s="1"/>
  <c r="AH32" i="22"/>
  <c r="AQ33" i="35"/>
  <c r="AP33" i="35"/>
  <c r="AO33" i="35"/>
  <c r="AN33" i="35"/>
  <c r="AM33" i="35"/>
  <c r="AL33" i="35"/>
  <c r="AK33" i="35"/>
  <c r="AJ33" i="35"/>
  <c r="AI33" i="35"/>
  <c r="AH33" i="35"/>
  <c r="AF33" i="35"/>
  <c r="AE33" i="35"/>
  <c r="AD33" i="35"/>
  <c r="AC33" i="35"/>
  <c r="AB33" i="35"/>
  <c r="AA33" i="35"/>
  <c r="Z33" i="35"/>
  <c r="Y33" i="35"/>
  <c r="X33" i="35"/>
  <c r="V33" i="35"/>
  <c r="U33" i="35"/>
  <c r="T33" i="35"/>
  <c r="S33" i="35"/>
  <c r="R33" i="35"/>
  <c r="Q33" i="35"/>
  <c r="P33" i="35"/>
  <c r="O33" i="35"/>
  <c r="N33" i="35"/>
  <c r="M33" i="35"/>
  <c r="K33" i="35"/>
  <c r="J33" i="35"/>
  <c r="I33" i="35"/>
  <c r="H33" i="35"/>
  <c r="G33" i="35"/>
  <c r="F33" i="35"/>
  <c r="E33" i="35"/>
  <c r="D33" i="35"/>
  <c r="C33" i="35"/>
  <c r="C32" i="35"/>
  <c r="AY29" i="35"/>
  <c r="AG29" i="35"/>
  <c r="W29" i="35"/>
  <c r="L29" i="35"/>
  <c r="AR29" i="35" s="1"/>
  <c r="AV29" i="35" s="1"/>
  <c r="AG28" i="35"/>
  <c r="W28" i="35"/>
  <c r="L28" i="35"/>
  <c r="AR28" i="35" s="1"/>
  <c r="AV28" i="35" s="1"/>
  <c r="AG27" i="35"/>
  <c r="W27" i="35"/>
  <c r="L27" i="35"/>
  <c r="AG26" i="35"/>
  <c r="W26" i="35"/>
  <c r="L26" i="35"/>
  <c r="AR26" i="35" s="1"/>
  <c r="AV26" i="35" s="1"/>
  <c r="AY25" i="35"/>
  <c r="AG25" i="35"/>
  <c r="W25" i="35"/>
  <c r="L25" i="35"/>
  <c r="AY24" i="35"/>
  <c r="AG24" i="35"/>
  <c r="W24" i="35"/>
  <c r="L24" i="35"/>
  <c r="AR24" i="35" s="1"/>
  <c r="AV24" i="35" s="1"/>
  <c r="AY23" i="35"/>
  <c r="AG23" i="35"/>
  <c r="W23" i="35"/>
  <c r="L23" i="35"/>
  <c r="AR23" i="35" s="1"/>
  <c r="AV23" i="35" s="1"/>
  <c r="AY22" i="35"/>
  <c r="AG22" i="35"/>
  <c r="W22" i="35"/>
  <c r="L22" i="35"/>
  <c r="AR22" i="35" s="1"/>
  <c r="AV22" i="35" s="1"/>
  <c r="AY21" i="35"/>
  <c r="AG21" i="35"/>
  <c r="W21" i="35"/>
  <c r="L21" i="35"/>
  <c r="AR21" i="35" s="1"/>
  <c r="AV21" i="35" s="1"/>
  <c r="AY20" i="35"/>
  <c r="AG20" i="35"/>
  <c r="W20" i="35"/>
  <c r="L20" i="35"/>
  <c r="AR20" i="35" s="1"/>
  <c r="AV20" i="35" s="1"/>
  <c r="AY19" i="35"/>
  <c r="AG19" i="35"/>
  <c r="W19" i="35"/>
  <c r="L19" i="35"/>
  <c r="AR19" i="35" s="1"/>
  <c r="AV19" i="35" s="1"/>
  <c r="AY18" i="35"/>
  <c r="AG18" i="35"/>
  <c r="W18" i="35"/>
  <c r="L18" i="35"/>
  <c r="AR18" i="35" s="1"/>
  <c r="AV18" i="35" s="1"/>
  <c r="AY17" i="35"/>
  <c r="AG17" i="35"/>
  <c r="W17" i="35"/>
  <c r="L17" i="35"/>
  <c r="AR17" i="35" s="1"/>
  <c r="AV17" i="35" s="1"/>
  <c r="AY16" i="35"/>
  <c r="AG16" i="35"/>
  <c r="W16" i="35"/>
  <c r="L16" i="35"/>
  <c r="AR16" i="35" s="1"/>
  <c r="AV16" i="35" s="1"/>
  <c r="AY15" i="35"/>
  <c r="AG15" i="35"/>
  <c r="W15" i="35"/>
  <c r="L15" i="35"/>
  <c r="AR15" i="35" s="1"/>
  <c r="AV15" i="35" s="1"/>
  <c r="AY14" i="35"/>
  <c r="AG14" i="35"/>
  <c r="W14" i="35"/>
  <c r="L14" i="35"/>
  <c r="AR14" i="35" s="1"/>
  <c r="AV14" i="35" s="1"/>
  <c r="AY13" i="35"/>
  <c r="AG13" i="35"/>
  <c r="W13" i="35"/>
  <c r="L13" i="35"/>
  <c r="AR13" i="35" s="1"/>
  <c r="AV13" i="35" s="1"/>
  <c r="AY12" i="35"/>
  <c r="AG12" i="35"/>
  <c r="W12" i="35"/>
  <c r="L12" i="35"/>
  <c r="AR12" i="35" s="1"/>
  <c r="AV12" i="35" s="1"/>
  <c r="AY11" i="35"/>
  <c r="AG11" i="35"/>
  <c r="W11" i="35"/>
  <c r="L11" i="35"/>
  <c r="AR11" i="35" s="1"/>
  <c r="AV11" i="35" s="1"/>
  <c r="AY10" i="35"/>
  <c r="AG10" i="35"/>
  <c r="W10" i="35"/>
  <c r="L10" i="35"/>
  <c r="AR10" i="35" s="1"/>
  <c r="AV10" i="35" s="1"/>
  <c r="AY9" i="35"/>
  <c r="AG9" i="35"/>
  <c r="W9" i="35"/>
  <c r="L9" i="35"/>
  <c r="AR9" i="35" s="1"/>
  <c r="AV9" i="35" s="1"/>
  <c r="AY8" i="35"/>
  <c r="AG8" i="35"/>
  <c r="W8" i="35"/>
  <c r="L8" i="35"/>
  <c r="AR8" i="35" s="1"/>
  <c r="AV8" i="35" s="1"/>
  <c r="AY7" i="35"/>
  <c r="AG7" i="35"/>
  <c r="W7" i="35"/>
  <c r="L7" i="35"/>
  <c r="AR7" i="35" s="1"/>
  <c r="AV7" i="35" s="1"/>
  <c r="AY6" i="35"/>
  <c r="AG6" i="35"/>
  <c r="W6" i="35"/>
  <c r="L6" i="35"/>
  <c r="AR6" i="35" s="1"/>
  <c r="AV6" i="35" s="1"/>
  <c r="AY5" i="35"/>
  <c r="AG5" i="35"/>
  <c r="W5" i="35"/>
  <c r="L5" i="35"/>
  <c r="AR5" i="35" s="1"/>
  <c r="AV5" i="35" s="1"/>
  <c r="AY4" i="35"/>
  <c r="AG4" i="35"/>
  <c r="AG32" i="35" s="1"/>
  <c r="W4" i="35"/>
  <c r="L4" i="35"/>
  <c r="AY27" i="24"/>
  <c r="C32" i="24"/>
  <c r="L31" i="24"/>
  <c r="W31" i="24"/>
  <c r="AG31" i="24"/>
  <c r="AV31" i="24"/>
  <c r="AU33" i="24"/>
  <c r="AU34" i="24" s="1"/>
  <c r="AU35" i="24" s="1"/>
  <c r="AU36" i="24" s="1"/>
  <c r="AU37" i="24" s="1"/>
  <c r="AT33" i="24"/>
  <c r="AT34" i="24" s="1"/>
  <c r="AT35" i="24" s="1"/>
  <c r="AT36" i="24" s="1"/>
  <c r="AT37" i="24" s="1"/>
  <c r="AR33" i="24"/>
  <c r="AR34" i="24" s="1"/>
  <c r="AR35" i="24" s="1"/>
  <c r="AR36" i="24" s="1"/>
  <c r="AR37" i="24" s="1"/>
  <c r="AR38" i="24" s="1"/>
  <c r="AQ33" i="24"/>
  <c r="AQ34" i="24" s="1"/>
  <c r="AQ35" i="24" s="1"/>
  <c r="AQ36" i="24" s="1"/>
  <c r="AQ37" i="24" s="1"/>
  <c r="AQ38" i="24" s="1"/>
  <c r="AP33" i="24"/>
  <c r="AP34" i="24" s="1"/>
  <c r="AP35" i="24" s="1"/>
  <c r="AP36" i="24" s="1"/>
  <c r="AP37" i="24" s="1"/>
  <c r="AP38" i="24" s="1"/>
  <c r="AO33" i="24"/>
  <c r="AO34" i="24" s="1"/>
  <c r="AO35" i="24" s="1"/>
  <c r="AO36" i="24" s="1"/>
  <c r="AO37" i="24" s="1"/>
  <c r="AO38" i="24" s="1"/>
  <c r="AN33" i="24"/>
  <c r="AN34" i="24" s="1"/>
  <c r="AN35" i="24" s="1"/>
  <c r="AN36" i="24" s="1"/>
  <c r="AN37" i="24" s="1"/>
  <c r="AN38" i="24" s="1"/>
  <c r="AM33" i="24"/>
  <c r="AM34" i="24" s="1"/>
  <c r="AM35" i="24" s="1"/>
  <c r="AM36" i="24" s="1"/>
  <c r="AM37" i="24" s="1"/>
  <c r="AM38" i="24" s="1"/>
  <c r="AL33" i="24"/>
  <c r="AL34" i="24" s="1"/>
  <c r="AL35" i="24" s="1"/>
  <c r="AL36" i="24" s="1"/>
  <c r="AL37" i="24" s="1"/>
  <c r="AL38" i="24" s="1"/>
  <c r="AK33" i="24"/>
  <c r="AK34" i="24" s="1"/>
  <c r="AK35" i="24" s="1"/>
  <c r="AK36" i="24" s="1"/>
  <c r="AK37" i="24" s="1"/>
  <c r="AK38" i="24" s="1"/>
  <c r="AJ33" i="24"/>
  <c r="AJ34" i="24" s="1"/>
  <c r="AJ35" i="24" s="1"/>
  <c r="AJ36" i="24" s="1"/>
  <c r="AJ37" i="24" s="1"/>
  <c r="AJ38" i="24" s="1"/>
  <c r="AI33" i="24"/>
  <c r="AI34" i="24" s="1"/>
  <c r="AI35" i="24" s="1"/>
  <c r="AI36" i="24" s="1"/>
  <c r="AI37" i="24" s="1"/>
  <c r="AI38" i="24" s="1"/>
  <c r="AH33" i="24"/>
  <c r="AH34" i="24" s="1"/>
  <c r="AH35" i="24" s="1"/>
  <c r="AH36" i="24" s="1"/>
  <c r="AH37" i="24" s="1"/>
  <c r="AH38" i="24" s="1"/>
  <c r="AF33" i="24"/>
  <c r="AF34" i="24" s="1"/>
  <c r="AF35" i="24" s="1"/>
  <c r="AF36" i="24" s="1"/>
  <c r="AF37" i="24" s="1"/>
  <c r="AF38" i="24" s="1"/>
  <c r="AE33" i="24"/>
  <c r="AE34" i="24" s="1"/>
  <c r="AE35" i="24" s="1"/>
  <c r="AE36" i="24" s="1"/>
  <c r="AE37" i="24" s="1"/>
  <c r="AE38" i="24" s="1"/>
  <c r="AD33" i="24"/>
  <c r="AD34" i="24" s="1"/>
  <c r="AD35" i="24" s="1"/>
  <c r="AD36" i="24" s="1"/>
  <c r="AD37" i="24" s="1"/>
  <c r="AD38" i="24" s="1"/>
  <c r="AC33" i="24"/>
  <c r="AC34" i="24" s="1"/>
  <c r="AC35" i="24" s="1"/>
  <c r="AC36" i="24" s="1"/>
  <c r="AC37" i="24" s="1"/>
  <c r="AC38" i="24" s="1"/>
  <c r="AB33" i="24"/>
  <c r="AB34" i="24" s="1"/>
  <c r="AB35" i="24" s="1"/>
  <c r="AB36" i="24" s="1"/>
  <c r="AB37" i="24" s="1"/>
  <c r="AB38" i="24" s="1"/>
  <c r="AA33" i="24"/>
  <c r="AA34" i="24" s="1"/>
  <c r="AA35" i="24" s="1"/>
  <c r="AA36" i="24" s="1"/>
  <c r="AA37" i="24" s="1"/>
  <c r="AA38" i="24" s="1"/>
  <c r="Z33" i="24"/>
  <c r="Z34" i="24" s="1"/>
  <c r="Z35" i="24" s="1"/>
  <c r="Z36" i="24" s="1"/>
  <c r="Z37" i="24" s="1"/>
  <c r="Z38" i="24" s="1"/>
  <c r="Y33" i="24"/>
  <c r="Y34" i="24" s="1"/>
  <c r="Y35" i="24" s="1"/>
  <c r="Y36" i="24" s="1"/>
  <c r="Y37" i="24" s="1"/>
  <c r="Y38" i="24" s="1"/>
  <c r="X33" i="24"/>
  <c r="X34" i="24" s="1"/>
  <c r="X35" i="24" s="1"/>
  <c r="X36" i="24" s="1"/>
  <c r="X37" i="24" s="1"/>
  <c r="X38" i="24" s="1"/>
  <c r="V33" i="24"/>
  <c r="V34" i="24" s="1"/>
  <c r="V35" i="24" s="1"/>
  <c r="V36" i="24" s="1"/>
  <c r="V37" i="24" s="1"/>
  <c r="V38" i="24" s="1"/>
  <c r="U33" i="24"/>
  <c r="U34" i="24" s="1"/>
  <c r="U35" i="24" s="1"/>
  <c r="U36" i="24" s="1"/>
  <c r="U37" i="24" s="1"/>
  <c r="U38" i="24" s="1"/>
  <c r="T33" i="24"/>
  <c r="T34" i="24" s="1"/>
  <c r="T35" i="24" s="1"/>
  <c r="T36" i="24" s="1"/>
  <c r="T37" i="24" s="1"/>
  <c r="T38" i="24" s="1"/>
  <c r="S33" i="24"/>
  <c r="S34" i="24" s="1"/>
  <c r="S35" i="24" s="1"/>
  <c r="S36" i="24" s="1"/>
  <c r="S37" i="24" s="1"/>
  <c r="S38" i="24" s="1"/>
  <c r="R33" i="24"/>
  <c r="R34" i="24" s="1"/>
  <c r="R35" i="24" s="1"/>
  <c r="R36" i="24" s="1"/>
  <c r="R37" i="24" s="1"/>
  <c r="R38" i="24" s="1"/>
  <c r="Q33" i="24"/>
  <c r="Q34" i="24" s="1"/>
  <c r="Q35" i="24" s="1"/>
  <c r="Q36" i="24" s="1"/>
  <c r="Q37" i="24" s="1"/>
  <c r="Q38" i="24" s="1"/>
  <c r="P33" i="24"/>
  <c r="P34" i="24" s="1"/>
  <c r="P35" i="24" s="1"/>
  <c r="P36" i="24" s="1"/>
  <c r="P37" i="24" s="1"/>
  <c r="P38" i="24" s="1"/>
  <c r="O33" i="24"/>
  <c r="O34" i="24" s="1"/>
  <c r="O35" i="24" s="1"/>
  <c r="O36" i="24" s="1"/>
  <c r="O37" i="24" s="1"/>
  <c r="O38" i="24" s="1"/>
  <c r="N33" i="24"/>
  <c r="N34" i="24" s="1"/>
  <c r="N35" i="24" s="1"/>
  <c r="N36" i="24" s="1"/>
  <c r="N37" i="24" s="1"/>
  <c r="N38" i="24" s="1"/>
  <c r="M33" i="24"/>
  <c r="M34" i="24" s="1"/>
  <c r="M35" i="24" s="1"/>
  <c r="M36" i="24" s="1"/>
  <c r="M37" i="24" s="1"/>
  <c r="M38" i="24" s="1"/>
  <c r="K33" i="24"/>
  <c r="K34" i="24" s="1"/>
  <c r="K35" i="24" s="1"/>
  <c r="K36" i="24" s="1"/>
  <c r="K37" i="24" s="1"/>
  <c r="K38" i="24" s="1"/>
  <c r="J33" i="24"/>
  <c r="J34" i="24" s="1"/>
  <c r="J35" i="24" s="1"/>
  <c r="J36" i="24" s="1"/>
  <c r="J37" i="24" s="1"/>
  <c r="J38" i="24" s="1"/>
  <c r="I33" i="24"/>
  <c r="I34" i="24" s="1"/>
  <c r="I35" i="24" s="1"/>
  <c r="I36" i="24" s="1"/>
  <c r="I37" i="24" s="1"/>
  <c r="I38" i="24" s="1"/>
  <c r="H33" i="24"/>
  <c r="H34" i="24" s="1"/>
  <c r="H35" i="24" s="1"/>
  <c r="H36" i="24" s="1"/>
  <c r="H37" i="24" s="1"/>
  <c r="H38" i="24" s="1"/>
  <c r="G33" i="24"/>
  <c r="G34" i="24" s="1"/>
  <c r="G35" i="24" s="1"/>
  <c r="G36" i="24" s="1"/>
  <c r="G37" i="24" s="1"/>
  <c r="G38" i="24" s="1"/>
  <c r="F33" i="24"/>
  <c r="F34" i="24" s="1"/>
  <c r="F35" i="24" s="1"/>
  <c r="F36" i="24" s="1"/>
  <c r="F37" i="24" s="1"/>
  <c r="F38" i="24" s="1"/>
  <c r="E33" i="24"/>
  <c r="E34" i="24" s="1"/>
  <c r="E35" i="24" s="1"/>
  <c r="E36" i="24" s="1"/>
  <c r="E37" i="24" s="1"/>
  <c r="E38" i="24" s="1"/>
  <c r="D33" i="24"/>
  <c r="D34" i="24" s="1"/>
  <c r="D35" i="24" s="1"/>
  <c r="D36" i="24" s="1"/>
  <c r="D37" i="24" s="1"/>
  <c r="D38" i="24" s="1"/>
  <c r="C33" i="24"/>
  <c r="C34" i="24" s="1"/>
  <c r="C35" i="24" s="1"/>
  <c r="C36" i="24" s="1"/>
  <c r="C37" i="24" s="1"/>
  <c r="C38" i="24" s="1"/>
  <c r="BG33" i="18"/>
  <c r="BG34" i="18" s="1"/>
  <c r="BG35" i="18" s="1"/>
  <c r="BG36" i="18" s="1"/>
  <c r="BG37" i="18" s="1"/>
  <c r="BG38" i="18" s="1"/>
  <c r="BF33" i="18"/>
  <c r="BF34" i="18" s="1"/>
  <c r="BF35" i="18" s="1"/>
  <c r="BF36" i="18" s="1"/>
  <c r="BF37" i="18" s="1"/>
  <c r="BF38" i="18" s="1"/>
  <c r="BE33" i="18"/>
  <c r="BE34" i="18" s="1"/>
  <c r="BE35" i="18" s="1"/>
  <c r="BE36" i="18" s="1"/>
  <c r="BE37" i="18" s="1"/>
  <c r="BE38" i="18" s="1"/>
  <c r="BB33" i="18"/>
  <c r="BB34" i="18" s="1"/>
  <c r="BB35" i="18" s="1"/>
  <c r="BB36" i="18" s="1"/>
  <c r="BB37" i="18" s="1"/>
  <c r="BB38" i="18" s="1"/>
  <c r="BA33" i="18"/>
  <c r="BA34" i="18" s="1"/>
  <c r="BA35" i="18" s="1"/>
  <c r="BA36" i="18" s="1"/>
  <c r="BA37" i="18" s="1"/>
  <c r="BA38" i="18" s="1"/>
  <c r="AZ33" i="18"/>
  <c r="AZ34" i="18" s="1"/>
  <c r="AZ35" i="18" s="1"/>
  <c r="AZ36" i="18" s="1"/>
  <c r="AZ37" i="18" s="1"/>
  <c r="AZ38" i="18" s="1"/>
  <c r="AY33" i="18"/>
  <c r="AY34" i="18" s="1"/>
  <c r="AY35" i="18" s="1"/>
  <c r="AY36" i="18" s="1"/>
  <c r="AY37" i="18" s="1"/>
  <c r="AY38" i="18" s="1"/>
  <c r="AX33" i="18"/>
  <c r="AX34" i="18" s="1"/>
  <c r="AX35" i="18" s="1"/>
  <c r="AX36" i="18" s="1"/>
  <c r="AX37" i="18" s="1"/>
  <c r="AX38" i="18" s="1"/>
  <c r="AW33" i="18"/>
  <c r="AW34" i="18" s="1"/>
  <c r="AW35" i="18" s="1"/>
  <c r="AW36" i="18" s="1"/>
  <c r="AW37" i="18" s="1"/>
  <c r="AW38" i="18" s="1"/>
  <c r="AV33" i="18"/>
  <c r="AV34" i="18" s="1"/>
  <c r="AV35" i="18" s="1"/>
  <c r="AV36" i="18" s="1"/>
  <c r="AV37" i="18" s="1"/>
  <c r="AV38" i="18" s="1"/>
  <c r="AT33" i="18"/>
  <c r="AT34" i="18" s="1"/>
  <c r="AT35" i="18" s="1"/>
  <c r="AT36" i="18" s="1"/>
  <c r="AT37" i="18" s="1"/>
  <c r="AT38" i="18" s="1"/>
  <c r="AS33" i="18"/>
  <c r="AS34" i="18" s="1"/>
  <c r="AS35" i="18" s="1"/>
  <c r="AS36" i="18" s="1"/>
  <c r="AS37" i="18" s="1"/>
  <c r="AS38" i="18" s="1"/>
  <c r="AR33" i="18"/>
  <c r="AR34" i="18" s="1"/>
  <c r="AR35" i="18" s="1"/>
  <c r="AR36" i="18" s="1"/>
  <c r="AR37" i="18" s="1"/>
  <c r="AR38" i="18" s="1"/>
  <c r="AQ33" i="18"/>
  <c r="AQ34" i="18" s="1"/>
  <c r="AQ35" i="18" s="1"/>
  <c r="AQ36" i="18" s="1"/>
  <c r="AQ37" i="18" s="1"/>
  <c r="AQ38" i="18" s="1"/>
  <c r="AP33" i="18"/>
  <c r="AP34" i="18" s="1"/>
  <c r="AP35" i="18" s="1"/>
  <c r="AP36" i="18" s="1"/>
  <c r="AP37" i="18" s="1"/>
  <c r="AP38" i="18" s="1"/>
  <c r="AO33" i="18"/>
  <c r="AO34" i="18" s="1"/>
  <c r="AO35" i="18" s="1"/>
  <c r="AO36" i="18" s="1"/>
  <c r="AO37" i="18" s="1"/>
  <c r="AO38" i="18" s="1"/>
  <c r="AN33" i="18"/>
  <c r="AN34" i="18" s="1"/>
  <c r="AN35" i="18" s="1"/>
  <c r="AN36" i="18" s="1"/>
  <c r="AN37" i="18" s="1"/>
  <c r="AN38" i="18" s="1"/>
  <c r="AL33" i="18"/>
  <c r="AL34" i="18" s="1"/>
  <c r="AL35" i="18" s="1"/>
  <c r="AL36" i="18" s="1"/>
  <c r="AL37" i="18" s="1"/>
  <c r="AL38" i="18" s="1"/>
  <c r="AK33" i="18"/>
  <c r="AK34" i="18" s="1"/>
  <c r="AK35" i="18" s="1"/>
  <c r="AK36" i="18" s="1"/>
  <c r="AK37" i="18" s="1"/>
  <c r="AK38" i="18" s="1"/>
  <c r="AJ33" i="18"/>
  <c r="AJ34" i="18" s="1"/>
  <c r="AJ35" i="18" s="1"/>
  <c r="AJ36" i="18" s="1"/>
  <c r="AJ37" i="18" s="1"/>
  <c r="AJ38" i="18" s="1"/>
  <c r="AI33" i="18"/>
  <c r="AI34" i="18" s="1"/>
  <c r="AI35" i="18" s="1"/>
  <c r="AI36" i="18" s="1"/>
  <c r="AI37" i="18" s="1"/>
  <c r="AI38" i="18" s="1"/>
  <c r="AH33" i="18"/>
  <c r="AH34" i="18" s="1"/>
  <c r="AH35" i="18" s="1"/>
  <c r="AH36" i="18" s="1"/>
  <c r="AH37" i="18" s="1"/>
  <c r="AH38" i="18" s="1"/>
  <c r="AG33" i="18"/>
  <c r="AG34" i="18" s="1"/>
  <c r="AG35" i="18" s="1"/>
  <c r="AG36" i="18" s="1"/>
  <c r="AG37" i="18" s="1"/>
  <c r="AG38" i="18" s="1"/>
  <c r="AF33" i="18"/>
  <c r="AF34" i="18" s="1"/>
  <c r="AF35" i="18" s="1"/>
  <c r="AF36" i="18" s="1"/>
  <c r="AF37" i="18" s="1"/>
  <c r="AF38" i="18" s="1"/>
  <c r="AE33" i="18"/>
  <c r="AE34" i="18" s="1"/>
  <c r="AE35" i="18" s="1"/>
  <c r="AE36" i="18" s="1"/>
  <c r="AE37" i="18" s="1"/>
  <c r="AE38" i="18" s="1"/>
  <c r="AD33" i="18"/>
  <c r="AD34" i="18" s="1"/>
  <c r="AD35" i="18" s="1"/>
  <c r="AD36" i="18" s="1"/>
  <c r="AD37" i="18" s="1"/>
  <c r="AD38" i="18" s="1"/>
  <c r="AB33" i="18"/>
  <c r="AB34" i="18" s="1"/>
  <c r="AB35" i="18" s="1"/>
  <c r="AB36" i="18" s="1"/>
  <c r="AB37" i="18" s="1"/>
  <c r="AB38" i="18" s="1"/>
  <c r="AA33" i="18"/>
  <c r="AA34" i="18" s="1"/>
  <c r="AA35" i="18" s="1"/>
  <c r="AA36" i="18" s="1"/>
  <c r="AA37" i="18" s="1"/>
  <c r="AA38" i="18" s="1"/>
  <c r="Z33" i="18"/>
  <c r="Z34" i="18" s="1"/>
  <c r="Z35" i="18" s="1"/>
  <c r="Z36" i="18" s="1"/>
  <c r="Z37" i="18" s="1"/>
  <c r="Z38" i="18" s="1"/>
  <c r="Y33" i="18"/>
  <c r="Y34" i="18" s="1"/>
  <c r="Y35" i="18" s="1"/>
  <c r="Y36" i="18" s="1"/>
  <c r="Y37" i="18" s="1"/>
  <c r="Y38" i="18" s="1"/>
  <c r="X33" i="18"/>
  <c r="X34" i="18" s="1"/>
  <c r="X35" i="18" s="1"/>
  <c r="X36" i="18" s="1"/>
  <c r="X37" i="18" s="1"/>
  <c r="X38" i="18" s="1"/>
  <c r="W33" i="18"/>
  <c r="W34" i="18" s="1"/>
  <c r="W35" i="18" s="1"/>
  <c r="W36" i="18" s="1"/>
  <c r="W37" i="18" s="1"/>
  <c r="W38" i="18" s="1"/>
  <c r="V33" i="18"/>
  <c r="V34" i="18" s="1"/>
  <c r="V35" i="18" s="1"/>
  <c r="V36" i="18" s="1"/>
  <c r="V37" i="18" s="1"/>
  <c r="V38" i="18" s="1"/>
  <c r="U33" i="18"/>
  <c r="U34" i="18" s="1"/>
  <c r="U35" i="18" s="1"/>
  <c r="U36" i="18" s="1"/>
  <c r="U37" i="18" s="1"/>
  <c r="U38" i="18" s="1"/>
  <c r="T33" i="18"/>
  <c r="T34" i="18" s="1"/>
  <c r="T35" i="18" s="1"/>
  <c r="T36" i="18" s="1"/>
  <c r="T37" i="18" s="1"/>
  <c r="T38" i="18" s="1"/>
  <c r="S33" i="18"/>
  <c r="S34" i="18" s="1"/>
  <c r="S35" i="18" s="1"/>
  <c r="S36" i="18" s="1"/>
  <c r="S37" i="18" s="1"/>
  <c r="S38" i="18" s="1"/>
  <c r="Q33" i="18"/>
  <c r="Q34" i="18" s="1"/>
  <c r="Q35" i="18" s="1"/>
  <c r="Q36" i="18" s="1"/>
  <c r="Q37" i="18" s="1"/>
  <c r="Q38" i="18" s="1"/>
  <c r="P33" i="18"/>
  <c r="P34" i="18" s="1"/>
  <c r="P35" i="18" s="1"/>
  <c r="P36" i="18" s="1"/>
  <c r="P37" i="18" s="1"/>
  <c r="P38" i="18" s="1"/>
  <c r="O33" i="18"/>
  <c r="O34" i="18" s="1"/>
  <c r="O35" i="18" s="1"/>
  <c r="O36" i="18" s="1"/>
  <c r="O37" i="18" s="1"/>
  <c r="O38" i="18" s="1"/>
  <c r="N33" i="18"/>
  <c r="N34" i="18" s="1"/>
  <c r="N35" i="18" s="1"/>
  <c r="N36" i="18" s="1"/>
  <c r="N37" i="18" s="1"/>
  <c r="N38" i="18" s="1"/>
  <c r="M33" i="18"/>
  <c r="M34" i="18" s="1"/>
  <c r="M35" i="18" s="1"/>
  <c r="M36" i="18" s="1"/>
  <c r="M37" i="18" s="1"/>
  <c r="M38" i="18" s="1"/>
  <c r="L33" i="18"/>
  <c r="L34" i="18" s="1"/>
  <c r="L35" i="18" s="1"/>
  <c r="L36" i="18" s="1"/>
  <c r="L37" i="18" s="1"/>
  <c r="L38" i="18" s="1"/>
  <c r="K33" i="18"/>
  <c r="K34" i="18" s="1"/>
  <c r="K35" i="18" s="1"/>
  <c r="K36" i="18" s="1"/>
  <c r="K37" i="18" s="1"/>
  <c r="K38" i="18" s="1"/>
  <c r="I33" i="18"/>
  <c r="I34" i="18" s="1"/>
  <c r="I35" i="18" s="1"/>
  <c r="I36" i="18" s="1"/>
  <c r="I37" i="18" s="1"/>
  <c r="I38" i="18" s="1"/>
  <c r="H33" i="18"/>
  <c r="H34" i="18" s="1"/>
  <c r="H35" i="18" s="1"/>
  <c r="H36" i="18" s="1"/>
  <c r="H37" i="18" s="1"/>
  <c r="H38" i="18" s="1"/>
  <c r="G33" i="18"/>
  <c r="G34" i="18" s="1"/>
  <c r="G35" i="18" s="1"/>
  <c r="G36" i="18" s="1"/>
  <c r="G37" i="18" s="1"/>
  <c r="G38" i="18" s="1"/>
  <c r="F33" i="18"/>
  <c r="F34" i="18" s="1"/>
  <c r="F35" i="18" s="1"/>
  <c r="F36" i="18" s="1"/>
  <c r="F37" i="18" s="1"/>
  <c r="F38" i="18" s="1"/>
  <c r="E33" i="18"/>
  <c r="E34" i="18" s="1"/>
  <c r="E35" i="18" s="1"/>
  <c r="E36" i="18" s="1"/>
  <c r="E37" i="18" s="1"/>
  <c r="E38" i="18" s="1"/>
  <c r="D33" i="18"/>
  <c r="D34" i="18" s="1"/>
  <c r="D35" i="18" s="1"/>
  <c r="D36" i="18" s="1"/>
  <c r="D37" i="18" s="1"/>
  <c r="D38" i="18" s="1"/>
  <c r="C33" i="18"/>
  <c r="C34" i="18" s="1"/>
  <c r="C35" i="18" s="1"/>
  <c r="C36" i="18" s="1"/>
  <c r="C37" i="18" s="1"/>
  <c r="C38" i="18" s="1"/>
  <c r="Q14" i="10"/>
  <c r="Q23" i="10"/>
  <c r="R20" i="10"/>
  <c r="Q21" i="10"/>
  <c r="O21" i="10"/>
  <c r="O22" i="10" s="1"/>
  <c r="O23" i="10" s="1"/>
  <c r="O24" i="10" s="1"/>
  <c r="O25" i="10" s="1"/>
  <c r="O26" i="10" s="1"/>
  <c r="O27" i="10" s="1"/>
  <c r="Q20" i="10"/>
  <c r="AS8" i="35" l="1"/>
  <c r="AW8" i="35" s="1"/>
  <c r="AS6" i="35"/>
  <c r="AW6" i="35" s="1"/>
  <c r="AS25" i="35"/>
  <c r="AW25" i="35" s="1"/>
  <c r="AR25" i="35"/>
  <c r="AV25" i="35" s="1"/>
  <c r="AX25" i="35" s="1"/>
  <c r="AS27" i="35"/>
  <c r="AW27" i="35" s="1"/>
  <c r="AR27" i="35"/>
  <c r="AV27" i="35" s="1"/>
  <c r="AX27" i="35" s="1"/>
  <c r="AR4" i="35"/>
  <c r="L32" i="35"/>
  <c r="AS31" i="24"/>
  <c r="W32" i="35"/>
  <c r="AS5" i="35"/>
  <c r="AW5" i="35" s="1"/>
  <c r="AX5" i="35" s="1"/>
  <c r="AS7" i="35"/>
  <c r="AW7" i="35" s="1"/>
  <c r="AS14" i="35"/>
  <c r="AW14" i="35" s="1"/>
  <c r="AX14" i="35" s="1"/>
  <c r="AS18" i="35"/>
  <c r="AW18" i="35" s="1"/>
  <c r="AX18" i="35" s="1"/>
  <c r="AS22" i="35"/>
  <c r="AW22" i="35" s="1"/>
  <c r="AS26" i="35"/>
  <c r="AW26" i="35" s="1"/>
  <c r="AX26" i="35" s="1"/>
  <c r="AS12" i="35"/>
  <c r="AW12" i="35" s="1"/>
  <c r="AX12" i="35" s="1"/>
  <c r="AS29" i="35"/>
  <c r="AW29" i="35" s="1"/>
  <c r="AX29" i="35" s="1"/>
  <c r="AS28" i="35"/>
  <c r="AW28" i="35" s="1"/>
  <c r="AX28" i="35" s="1"/>
  <c r="AS24" i="35"/>
  <c r="AW24" i="35" s="1"/>
  <c r="AX24" i="35" s="1"/>
  <c r="AS23" i="35"/>
  <c r="AW23" i="35" s="1"/>
  <c r="AS21" i="35"/>
  <c r="AW21" i="35" s="1"/>
  <c r="AS20" i="35"/>
  <c r="AW20" i="35" s="1"/>
  <c r="AS19" i="35"/>
  <c r="AW19" i="35" s="1"/>
  <c r="AS17" i="35"/>
  <c r="AW17" i="35" s="1"/>
  <c r="AX17" i="35" s="1"/>
  <c r="AS16" i="35"/>
  <c r="AW16" i="35" s="1"/>
  <c r="AS15" i="35"/>
  <c r="AW15" i="35" s="1"/>
  <c r="AS13" i="35"/>
  <c r="AW13" i="35" s="1"/>
  <c r="AX13" i="35" s="1"/>
  <c r="AS11" i="35"/>
  <c r="AW11" i="35" s="1"/>
  <c r="AX11" i="35" s="1"/>
  <c r="AS10" i="35"/>
  <c r="AW10" i="35" s="1"/>
  <c r="AX10" i="35" s="1"/>
  <c r="AS9" i="35"/>
  <c r="AW9" i="35" s="1"/>
  <c r="AX9" i="35" s="1"/>
  <c r="AS4" i="35"/>
  <c r="AX16" i="35"/>
  <c r="AX20" i="35"/>
  <c r="AX6" i="35"/>
  <c r="AX21" i="35"/>
  <c r="AX8" i="35"/>
  <c r="AX7" i="35"/>
  <c r="AX22" i="35"/>
  <c r="AX15" i="35"/>
  <c r="AX19" i="35"/>
  <c r="AX23" i="35"/>
  <c r="L33" i="35"/>
  <c r="W33" i="35"/>
  <c r="AG33" i="35"/>
  <c r="C34" i="35"/>
  <c r="C35" i="35" s="1"/>
  <c r="C36" i="35" s="1"/>
  <c r="C37" i="35" s="1"/>
  <c r="C38" i="35" s="1"/>
  <c r="G34" i="35"/>
  <c r="G35" i="35" s="1"/>
  <c r="G36" i="35" s="1"/>
  <c r="G37" i="35" s="1"/>
  <c r="G38" i="35" s="1"/>
  <c r="K34" i="35"/>
  <c r="K35" i="35" s="1"/>
  <c r="K36" i="35" s="1"/>
  <c r="K37" i="35" s="1"/>
  <c r="K38" i="35" s="1"/>
  <c r="O34" i="35"/>
  <c r="O35" i="35" s="1"/>
  <c r="O36" i="35" s="1"/>
  <c r="O37" i="35" s="1"/>
  <c r="O38" i="35" s="1"/>
  <c r="S34" i="35"/>
  <c r="S35" i="35" s="1"/>
  <c r="S36" i="35" s="1"/>
  <c r="S37" i="35" s="1"/>
  <c r="S38" i="35" s="1"/>
  <c r="AA34" i="35"/>
  <c r="AA35" i="35" s="1"/>
  <c r="AA36" i="35" s="1"/>
  <c r="AA37" i="35" s="1"/>
  <c r="AA38" i="35" s="1"/>
  <c r="AE34" i="35"/>
  <c r="AE35" i="35" s="1"/>
  <c r="AE36" i="35" s="1"/>
  <c r="AE37" i="35" s="1"/>
  <c r="AE38" i="35" s="1"/>
  <c r="AI34" i="35"/>
  <c r="AI35" i="35" s="1"/>
  <c r="AI36" i="35" s="1"/>
  <c r="AI37" i="35" s="1"/>
  <c r="AI38" i="35" s="1"/>
  <c r="AM34" i="35"/>
  <c r="AM35" i="35" s="1"/>
  <c r="AM36" i="35" s="1"/>
  <c r="AM37" i="35" s="1"/>
  <c r="AM38" i="35" s="1"/>
  <c r="AQ34" i="35"/>
  <c r="AQ35" i="35" s="1"/>
  <c r="AQ36" i="35" s="1"/>
  <c r="AQ37" i="35" s="1"/>
  <c r="AQ38" i="35" s="1"/>
  <c r="D34" i="35"/>
  <c r="D35" i="35" s="1"/>
  <c r="D36" i="35" s="1"/>
  <c r="D37" i="35" s="1"/>
  <c r="D38" i="35" s="1"/>
  <c r="H34" i="35"/>
  <c r="H35" i="35" s="1"/>
  <c r="H36" i="35" s="1"/>
  <c r="H37" i="35" s="1"/>
  <c r="H38" i="35" s="1"/>
  <c r="P34" i="35"/>
  <c r="P35" i="35" s="1"/>
  <c r="P36" i="35" s="1"/>
  <c r="P37" i="35" s="1"/>
  <c r="P38" i="35" s="1"/>
  <c r="T34" i="35"/>
  <c r="T35" i="35" s="1"/>
  <c r="T36" i="35" s="1"/>
  <c r="T37" i="35" s="1"/>
  <c r="T38" i="35" s="1"/>
  <c r="X34" i="35"/>
  <c r="X35" i="35" s="1"/>
  <c r="X36" i="35" s="1"/>
  <c r="X37" i="35" s="1"/>
  <c r="X38" i="35" s="1"/>
  <c r="AB34" i="35"/>
  <c r="AB35" i="35" s="1"/>
  <c r="AB36" i="35" s="1"/>
  <c r="AB37" i="35" s="1"/>
  <c r="AB38" i="35" s="1"/>
  <c r="AF34" i="35"/>
  <c r="AF35" i="35" s="1"/>
  <c r="AF36" i="35" s="1"/>
  <c r="AF37" i="35" s="1"/>
  <c r="AF38" i="35" s="1"/>
  <c r="AJ34" i="35"/>
  <c r="AJ35" i="35" s="1"/>
  <c r="AJ36" i="35" s="1"/>
  <c r="AJ37" i="35" s="1"/>
  <c r="AJ38" i="35" s="1"/>
  <c r="AN34" i="35"/>
  <c r="AN35" i="35" s="1"/>
  <c r="AN36" i="35" s="1"/>
  <c r="AN37" i="35" s="1"/>
  <c r="AN38" i="35" s="1"/>
  <c r="E34" i="35"/>
  <c r="E35" i="35" s="1"/>
  <c r="E36" i="35" s="1"/>
  <c r="E37" i="35" s="1"/>
  <c r="E38" i="35" s="1"/>
  <c r="I34" i="35"/>
  <c r="I35" i="35" s="1"/>
  <c r="I36" i="35" s="1"/>
  <c r="I37" i="35" s="1"/>
  <c r="I38" i="35" s="1"/>
  <c r="M34" i="35"/>
  <c r="M35" i="35" s="1"/>
  <c r="M36" i="35" s="1"/>
  <c r="M37" i="35" s="1"/>
  <c r="M38" i="35" s="1"/>
  <c r="Q34" i="35"/>
  <c r="Q35" i="35" s="1"/>
  <c r="Q36" i="35" s="1"/>
  <c r="Q37" i="35" s="1"/>
  <c r="Q38" i="35" s="1"/>
  <c r="U34" i="35"/>
  <c r="U35" i="35" s="1"/>
  <c r="U36" i="35" s="1"/>
  <c r="U37" i="35" s="1"/>
  <c r="U38" i="35" s="1"/>
  <c r="Y34" i="35"/>
  <c r="Y35" i="35" s="1"/>
  <c r="Y36" i="35" s="1"/>
  <c r="Y37" i="35" s="1"/>
  <c r="Y38" i="35" s="1"/>
  <c r="AC34" i="35"/>
  <c r="AC35" i="35" s="1"/>
  <c r="AC36" i="35" s="1"/>
  <c r="AC37" i="35" s="1"/>
  <c r="AC38" i="35" s="1"/>
  <c r="AK34" i="35"/>
  <c r="AK35" i="35" s="1"/>
  <c r="AK36" i="35" s="1"/>
  <c r="AK37" i="35" s="1"/>
  <c r="AK38" i="35" s="1"/>
  <c r="AO34" i="35"/>
  <c r="AO35" i="35" s="1"/>
  <c r="AO36" i="35" s="1"/>
  <c r="AO37" i="35" s="1"/>
  <c r="AO38" i="35" s="1"/>
  <c r="F34" i="35"/>
  <c r="F35" i="35" s="1"/>
  <c r="F36" i="35" s="1"/>
  <c r="F37" i="35" s="1"/>
  <c r="F38" i="35" s="1"/>
  <c r="J34" i="35"/>
  <c r="J35" i="35" s="1"/>
  <c r="J36" i="35" s="1"/>
  <c r="J37" i="35" s="1"/>
  <c r="J38" i="35" s="1"/>
  <c r="N34" i="35"/>
  <c r="N35" i="35" s="1"/>
  <c r="N36" i="35" s="1"/>
  <c r="N37" i="35" s="1"/>
  <c r="N38" i="35" s="1"/>
  <c r="R34" i="35"/>
  <c r="R35" i="35" s="1"/>
  <c r="R36" i="35" s="1"/>
  <c r="R37" i="35" s="1"/>
  <c r="R38" i="35" s="1"/>
  <c r="V34" i="35"/>
  <c r="V35" i="35" s="1"/>
  <c r="V36" i="35" s="1"/>
  <c r="V37" i="35" s="1"/>
  <c r="V38" i="35" s="1"/>
  <c r="Z34" i="35"/>
  <c r="Z35" i="35" s="1"/>
  <c r="Z36" i="35" s="1"/>
  <c r="Z37" i="35" s="1"/>
  <c r="Z38" i="35" s="1"/>
  <c r="AD34" i="35"/>
  <c r="AD35" i="35" s="1"/>
  <c r="AD36" i="35" s="1"/>
  <c r="AD37" i="35" s="1"/>
  <c r="AD38" i="35" s="1"/>
  <c r="AH34" i="35"/>
  <c r="AH35" i="35" s="1"/>
  <c r="AH36" i="35" s="1"/>
  <c r="AH37" i="35" s="1"/>
  <c r="AH38" i="35" s="1"/>
  <c r="AL34" i="35"/>
  <c r="AL35" i="35" s="1"/>
  <c r="AL36" i="35" s="1"/>
  <c r="AL37" i="35" s="1"/>
  <c r="AL38" i="35" s="1"/>
  <c r="AP34" i="35"/>
  <c r="AP35" i="35" s="1"/>
  <c r="AP36" i="35" s="1"/>
  <c r="AP37" i="35" s="1"/>
  <c r="AP38" i="35" s="1"/>
  <c r="AW31" i="24"/>
  <c r="AR32" i="35" l="1"/>
  <c r="AR33" i="35"/>
  <c r="AR34" i="35" s="1"/>
  <c r="AR35" i="35" s="1"/>
  <c r="AR36" i="35" s="1"/>
  <c r="AR37" i="35" s="1"/>
  <c r="AR38" i="35" s="1"/>
  <c r="AV4" i="35"/>
  <c r="AW4" i="35"/>
  <c r="AS32" i="35"/>
  <c r="AS33" i="35"/>
  <c r="O39" i="35"/>
  <c r="AC39" i="35"/>
  <c r="K39" i="35"/>
  <c r="AO39" i="35"/>
  <c r="X39" i="35"/>
  <c r="F39" i="35"/>
  <c r="AE39" i="35"/>
  <c r="N39" i="35"/>
  <c r="AI39" i="35"/>
  <c r="Q39" i="35"/>
  <c r="AP39" i="35"/>
  <c r="Y39" i="35"/>
  <c r="G39" i="35"/>
  <c r="AK39" i="35"/>
  <c r="S39" i="35"/>
  <c r="AA39" i="35"/>
  <c r="I39" i="35"/>
  <c r="AG34" i="35"/>
  <c r="AG35" i="35" s="1"/>
  <c r="AG36" i="35" s="1"/>
  <c r="AG37" i="35" s="1"/>
  <c r="AG38" i="35" s="1"/>
  <c r="AD39" i="35"/>
  <c r="M39" i="35"/>
  <c r="W34" i="35"/>
  <c r="W35" i="35" s="1"/>
  <c r="W36" i="35" s="1"/>
  <c r="W37" i="35" s="1"/>
  <c r="W38" i="35" s="1"/>
  <c r="AL39" i="35"/>
  <c r="T39" i="35"/>
  <c r="C39" i="35"/>
  <c r="AF39" i="35"/>
  <c r="AN39" i="35"/>
  <c r="V39" i="35"/>
  <c r="E39" i="35"/>
  <c r="AQ39" i="35"/>
  <c r="Z39" i="35"/>
  <c r="H39" i="35"/>
  <c r="AH39" i="35"/>
  <c r="P39" i="35"/>
  <c r="AB39" i="35"/>
  <c r="J39" i="35"/>
  <c r="AJ39" i="35"/>
  <c r="R39" i="35"/>
  <c r="AM39" i="35"/>
  <c r="U39" i="35"/>
  <c r="D39" i="35"/>
  <c r="L34" i="35"/>
  <c r="L35" i="35" s="1"/>
  <c r="L36" i="35" s="1"/>
  <c r="L37" i="35" s="1"/>
  <c r="L38" i="35" s="1"/>
  <c r="AX31" i="24"/>
  <c r="T4" i="30"/>
  <c r="T5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" i="30"/>
  <c r="AR39" i="35" l="1"/>
  <c r="AV33" i="35"/>
  <c r="AV32" i="35"/>
  <c r="AS34" i="35"/>
  <c r="AS35" i="35" s="1"/>
  <c r="AS36" i="35" s="1"/>
  <c r="AS37" i="35" s="1"/>
  <c r="AS38" i="35" s="1"/>
  <c r="AW32" i="35"/>
  <c r="AW33" i="35"/>
  <c r="AX4" i="35"/>
  <c r="AG39" i="35"/>
  <c r="W39" i="35"/>
  <c r="L39" i="35"/>
  <c r="U20" i="30"/>
  <c r="U14" i="30"/>
  <c r="U19" i="30"/>
  <c r="U29" i="30"/>
  <c r="U21" i="30"/>
  <c r="U17" i="30"/>
  <c r="U13" i="30"/>
  <c r="U15" i="30"/>
  <c r="U9" i="30"/>
  <c r="U27" i="30"/>
  <c r="U11" i="30"/>
  <c r="U7" i="30"/>
  <c r="U3" i="30"/>
  <c r="U22" i="30"/>
  <c r="U6" i="30"/>
  <c r="U16" i="30"/>
  <c r="U8" i="30"/>
  <c r="U23" i="30"/>
  <c r="U5" i="30"/>
  <c r="U26" i="30"/>
  <c r="U28" i="30"/>
  <c r="U24" i="30"/>
  <c r="U12" i="30"/>
  <c r="U4" i="30"/>
  <c r="U25" i="30"/>
  <c r="U18" i="30"/>
  <c r="U10" i="30"/>
  <c r="F18" i="5"/>
  <c r="E18" i="5"/>
  <c r="C18" i="5"/>
  <c r="B18" i="5"/>
  <c r="A18" i="5"/>
  <c r="F15" i="5"/>
  <c r="E15" i="5"/>
  <c r="D15" i="5"/>
  <c r="C15" i="5"/>
  <c r="B15" i="5"/>
  <c r="A15" i="5"/>
  <c r="F12" i="5"/>
  <c r="E12" i="5"/>
  <c r="D12" i="5"/>
  <c r="C12" i="5"/>
  <c r="B12" i="5"/>
  <c r="A12" i="5"/>
  <c r="F8" i="5"/>
  <c r="E8" i="5"/>
  <c r="D8" i="5"/>
  <c r="C8" i="5"/>
  <c r="B8" i="5"/>
  <c r="A8" i="5"/>
  <c r="F5" i="5"/>
  <c r="E5" i="5"/>
  <c r="D5" i="5"/>
  <c r="C5" i="5"/>
  <c r="B5" i="5"/>
  <c r="A5" i="5"/>
  <c r="AV32" i="18"/>
  <c r="AW32" i="18"/>
  <c r="AX32" i="18"/>
  <c r="AY32" i="18"/>
  <c r="AZ32" i="18"/>
  <c r="BA32" i="18"/>
  <c r="BB32" i="18"/>
  <c r="BE32" i="18"/>
  <c r="BF32" i="18"/>
  <c r="BG32" i="18"/>
  <c r="AV39" i="18"/>
  <c r="AX39" i="18"/>
  <c r="AY39" i="18"/>
  <c r="AZ39" i="18"/>
  <c r="BA39" i="18"/>
  <c r="BB39" i="18"/>
  <c r="BE39" i="18"/>
  <c r="BG39" i="18"/>
  <c r="AW39" i="18"/>
  <c r="AU5" i="18"/>
  <c r="AU6" i="18"/>
  <c r="AU7" i="18"/>
  <c r="AU8" i="18"/>
  <c r="AU9" i="18"/>
  <c r="AU10" i="18"/>
  <c r="AU11" i="18"/>
  <c r="AU12" i="18"/>
  <c r="AU13" i="18"/>
  <c r="AU14" i="18"/>
  <c r="AU15" i="18"/>
  <c r="AU16" i="18"/>
  <c r="AU17" i="18"/>
  <c r="AU18" i="18"/>
  <c r="AU19" i="18"/>
  <c r="AU20" i="18"/>
  <c r="AU21" i="18"/>
  <c r="AU22" i="18"/>
  <c r="AU23" i="18"/>
  <c r="AU24" i="18"/>
  <c r="AU25" i="18"/>
  <c r="AU26" i="18"/>
  <c r="AU27" i="18"/>
  <c r="AU28" i="18"/>
  <c r="AU29" i="18"/>
  <c r="AU4" i="18"/>
  <c r="AW32" i="25"/>
  <c r="AX32" i="25"/>
  <c r="AY32" i="25"/>
  <c r="AZ32" i="25"/>
  <c r="BA32" i="25"/>
  <c r="BB32" i="25"/>
  <c r="BC32" i="25"/>
  <c r="AW33" i="25"/>
  <c r="AW34" i="25" s="1"/>
  <c r="AX33" i="25"/>
  <c r="AX34" i="25" s="1"/>
  <c r="AX35" i="25" s="1"/>
  <c r="AX36" i="25" s="1"/>
  <c r="AX37" i="25" s="1"/>
  <c r="AX38" i="25" s="1"/>
  <c r="AY33" i="25"/>
  <c r="AY34" i="25" s="1"/>
  <c r="AZ33" i="25"/>
  <c r="AZ34" i="25" s="1"/>
  <c r="AZ35" i="25" s="1"/>
  <c r="AZ36" i="25" s="1"/>
  <c r="AZ37" i="25" s="1"/>
  <c r="AZ38" i="25" s="1"/>
  <c r="BA33" i="25"/>
  <c r="BA34" i="25" s="1"/>
  <c r="BB33" i="25"/>
  <c r="BB34" i="25" s="1"/>
  <c r="BB35" i="25" s="1"/>
  <c r="BB36" i="25" s="1"/>
  <c r="BB37" i="25" s="1"/>
  <c r="BB38" i="25" s="1"/>
  <c r="BC33" i="25"/>
  <c r="BC34" i="25" s="1"/>
  <c r="BD5" i="25"/>
  <c r="BD6" i="25"/>
  <c r="BD7" i="25"/>
  <c r="BD8" i="25"/>
  <c r="BD9" i="25"/>
  <c r="BD10" i="25"/>
  <c r="BD11" i="25"/>
  <c r="BD12" i="25"/>
  <c r="BD13" i="25"/>
  <c r="BD14" i="25"/>
  <c r="BD15" i="25"/>
  <c r="BD16" i="25"/>
  <c r="BD17" i="25"/>
  <c r="BD18" i="25"/>
  <c r="BD19" i="25"/>
  <c r="BD20" i="25"/>
  <c r="BD21" i="25"/>
  <c r="BD22" i="25"/>
  <c r="BD23" i="25"/>
  <c r="BD24" i="25"/>
  <c r="BD25" i="25"/>
  <c r="BD26" i="25"/>
  <c r="BD27" i="25"/>
  <c r="BD28" i="25"/>
  <c r="BD29" i="25"/>
  <c r="BD4" i="25"/>
  <c r="AV5" i="25"/>
  <c r="AV6" i="25"/>
  <c r="AV7" i="25"/>
  <c r="AV8" i="25"/>
  <c r="AV9" i="25"/>
  <c r="AV10" i="25"/>
  <c r="AV11" i="25"/>
  <c r="AV12" i="25"/>
  <c r="AV13" i="25"/>
  <c r="AV14" i="25"/>
  <c r="AV15" i="25"/>
  <c r="AV16" i="25"/>
  <c r="AV17" i="25"/>
  <c r="AV18" i="25"/>
  <c r="AV19" i="25"/>
  <c r="AV20" i="25"/>
  <c r="AV21" i="25"/>
  <c r="AV22" i="25"/>
  <c r="AV23" i="25"/>
  <c r="AV24" i="25"/>
  <c r="AV25" i="25"/>
  <c r="AV26" i="25"/>
  <c r="AV27" i="25"/>
  <c r="AV28" i="25"/>
  <c r="AV29" i="25"/>
  <c r="AV4" i="25"/>
  <c r="AN5" i="25"/>
  <c r="AN6" i="25"/>
  <c r="AN7" i="25"/>
  <c r="AN8" i="25"/>
  <c r="AN9" i="25"/>
  <c r="AN10" i="25"/>
  <c r="AN11" i="25"/>
  <c r="AN12" i="25"/>
  <c r="AN13" i="25"/>
  <c r="AN14" i="25"/>
  <c r="AN15" i="25"/>
  <c r="AN16" i="25"/>
  <c r="AN17" i="25"/>
  <c r="AN18" i="25"/>
  <c r="AN19" i="25"/>
  <c r="AN20" i="25"/>
  <c r="AN21" i="25"/>
  <c r="AN22" i="25"/>
  <c r="AN23" i="25"/>
  <c r="AN24" i="25"/>
  <c r="AN25" i="25"/>
  <c r="AN26" i="25"/>
  <c r="AN27" i="25"/>
  <c r="AN28" i="25"/>
  <c r="AN29" i="25"/>
  <c r="AN4" i="25"/>
  <c r="AD5" i="25"/>
  <c r="AD6" i="25"/>
  <c r="AD7" i="25"/>
  <c r="AD8" i="25"/>
  <c r="AD9" i="25"/>
  <c r="AD11" i="25"/>
  <c r="AD12" i="25"/>
  <c r="AD13" i="25"/>
  <c r="AD14" i="25"/>
  <c r="AD15" i="25"/>
  <c r="AD18" i="25"/>
  <c r="AD21" i="25"/>
  <c r="AD22" i="25"/>
  <c r="AD23" i="25"/>
  <c r="AD24" i="25"/>
  <c r="AD25" i="25"/>
  <c r="AD4" i="25"/>
  <c r="J5" i="25"/>
  <c r="J6" i="25"/>
  <c r="J7" i="25"/>
  <c r="J8" i="25"/>
  <c r="J9" i="25"/>
  <c r="J10" i="25"/>
  <c r="J11" i="25"/>
  <c r="J12" i="25"/>
  <c r="J13" i="25"/>
  <c r="J14" i="25"/>
  <c r="J15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4" i="25"/>
  <c r="S9" i="25"/>
  <c r="S11" i="25"/>
  <c r="S21" i="25"/>
  <c r="S22" i="25"/>
  <c r="S23" i="25"/>
  <c r="S26" i="25"/>
  <c r="S28" i="25"/>
  <c r="BF11" i="25" l="1"/>
  <c r="BF10" i="25"/>
  <c r="BF12" i="25"/>
  <c r="BF17" i="25"/>
  <c r="BF5" i="25"/>
  <c r="BF20" i="25"/>
  <c r="BF27" i="25"/>
  <c r="BF19" i="25"/>
  <c r="BF15" i="25"/>
  <c r="AV34" i="35"/>
  <c r="AV35" i="35" s="1"/>
  <c r="AV36" i="35" s="1"/>
  <c r="AV37" i="35" s="1"/>
  <c r="AV38" i="35" s="1"/>
  <c r="BF29" i="25"/>
  <c r="BF28" i="25"/>
  <c r="BF26" i="25"/>
  <c r="BF25" i="25"/>
  <c r="BF24" i="25"/>
  <c r="BF23" i="25"/>
  <c r="BF22" i="25"/>
  <c r="BF21" i="25"/>
  <c r="BF18" i="25"/>
  <c r="BF16" i="25"/>
  <c r="BF14" i="25"/>
  <c r="BF13" i="25"/>
  <c r="BF9" i="25"/>
  <c r="BF8" i="25"/>
  <c r="BF7" i="25"/>
  <c r="AV32" i="25"/>
  <c r="BF6" i="25"/>
  <c r="BD32" i="25"/>
  <c r="BD33" i="25"/>
  <c r="BD34" i="25" s="1"/>
  <c r="BD35" i="25" s="1"/>
  <c r="BD36" i="25" s="1"/>
  <c r="BD37" i="25" s="1"/>
  <c r="BD38" i="25" s="1"/>
  <c r="BF4" i="25"/>
  <c r="AV33" i="25"/>
  <c r="AV34" i="25" s="1"/>
  <c r="AV35" i="25" s="1"/>
  <c r="AV36" i="25" s="1"/>
  <c r="AV37" i="25" s="1"/>
  <c r="AV38" i="25" s="1"/>
  <c r="AD32" i="25"/>
  <c r="AW34" i="35"/>
  <c r="AW35" i="35" s="1"/>
  <c r="AW36" i="35" s="1"/>
  <c r="AW37" i="35" s="1"/>
  <c r="AW38" i="35" s="1"/>
  <c r="AX32" i="35"/>
  <c r="AX33" i="35"/>
  <c r="AX34" i="35" s="1"/>
  <c r="AX35" i="35" s="1"/>
  <c r="AX36" i="35" s="1"/>
  <c r="AX37" i="35" s="1"/>
  <c r="AX38" i="35" s="1"/>
  <c r="AS39" i="35"/>
  <c r="AU33" i="18"/>
  <c r="AU34" i="18" s="1"/>
  <c r="AU35" i="18" s="1"/>
  <c r="AU36" i="18" s="1"/>
  <c r="AU37" i="18" s="1"/>
  <c r="AU38" i="18" s="1"/>
  <c r="AU32" i="18"/>
  <c r="BF39" i="18"/>
  <c r="BC35" i="25"/>
  <c r="BC36" i="25" s="1"/>
  <c r="BC37" i="25" s="1"/>
  <c r="BC38" i="25" s="1"/>
  <c r="AW35" i="25"/>
  <c r="AW36" i="25" s="1"/>
  <c r="AW37" i="25" s="1"/>
  <c r="AW38" i="25" s="1"/>
  <c r="BA35" i="25"/>
  <c r="BA36" i="25" s="1"/>
  <c r="BA37" i="25" s="1"/>
  <c r="BA38" i="25" s="1"/>
  <c r="AY35" i="25"/>
  <c r="AY36" i="25" s="1"/>
  <c r="AY37" i="25" s="1"/>
  <c r="AY38" i="25" s="1"/>
  <c r="AZ39" i="25"/>
  <c r="BB39" i="25"/>
  <c r="AX39" i="25"/>
  <c r="BH33" i="25"/>
  <c r="BH34" i="25" s="1"/>
  <c r="BH35" i="25" s="1"/>
  <c r="BH36" i="25" s="1"/>
  <c r="BH37" i="25" s="1"/>
  <c r="BH38" i="25" s="1"/>
  <c r="BG33" i="25"/>
  <c r="BG34" i="25" s="1"/>
  <c r="BG35" i="25" s="1"/>
  <c r="BG36" i="25" s="1"/>
  <c r="BG37" i="25" s="1"/>
  <c r="BG38" i="25" s="1"/>
  <c r="BG39" i="25" s="1"/>
  <c r="BE33" i="25"/>
  <c r="BE34" i="25" s="1"/>
  <c r="BE35" i="25" s="1"/>
  <c r="BE36" i="25" s="1"/>
  <c r="BE37" i="25" s="1"/>
  <c r="BE38" i="25" s="1"/>
  <c r="BE39" i="25" s="1"/>
  <c r="AU33" i="25"/>
  <c r="AU34" i="25" s="1"/>
  <c r="AU35" i="25" s="1"/>
  <c r="AU36" i="25" s="1"/>
  <c r="AU37" i="25" s="1"/>
  <c r="AU38" i="25" s="1"/>
  <c r="AU39" i="25" s="1"/>
  <c r="AT33" i="25"/>
  <c r="AT34" i="25" s="1"/>
  <c r="AT35" i="25" s="1"/>
  <c r="AT36" i="25" s="1"/>
  <c r="AT37" i="25" s="1"/>
  <c r="AT38" i="25" s="1"/>
  <c r="AS33" i="25"/>
  <c r="AS34" i="25" s="1"/>
  <c r="AS35" i="25" s="1"/>
  <c r="AS36" i="25" s="1"/>
  <c r="AS37" i="25" s="1"/>
  <c r="AS38" i="25" s="1"/>
  <c r="AS39" i="25" s="1"/>
  <c r="AR33" i="25"/>
  <c r="AR34" i="25" s="1"/>
  <c r="AR35" i="25" s="1"/>
  <c r="AR36" i="25" s="1"/>
  <c r="AR37" i="25" s="1"/>
  <c r="AR38" i="25" s="1"/>
  <c r="AQ33" i="25"/>
  <c r="AQ34" i="25" s="1"/>
  <c r="AQ35" i="25" s="1"/>
  <c r="AQ36" i="25" s="1"/>
  <c r="AQ37" i="25" s="1"/>
  <c r="AQ38" i="25" s="1"/>
  <c r="AQ39" i="25" s="1"/>
  <c r="AP33" i="25"/>
  <c r="AP34" i="25" s="1"/>
  <c r="AP35" i="25" s="1"/>
  <c r="AP36" i="25" s="1"/>
  <c r="AP37" i="25" s="1"/>
  <c r="AP38" i="25" s="1"/>
  <c r="AO33" i="25"/>
  <c r="AO34" i="25" s="1"/>
  <c r="AO35" i="25" s="1"/>
  <c r="AO36" i="25" s="1"/>
  <c r="AO37" i="25" s="1"/>
  <c r="AO38" i="25" s="1"/>
  <c r="AO39" i="25" s="1"/>
  <c r="AN33" i="25"/>
  <c r="AN34" i="25" s="1"/>
  <c r="AN35" i="25" s="1"/>
  <c r="AN36" i="25" s="1"/>
  <c r="AN37" i="25" s="1"/>
  <c r="AN38" i="25" s="1"/>
  <c r="AM33" i="25"/>
  <c r="AM34" i="25" s="1"/>
  <c r="AM35" i="25" s="1"/>
  <c r="AM36" i="25" s="1"/>
  <c r="AM37" i="25" s="1"/>
  <c r="AM38" i="25" s="1"/>
  <c r="AM39" i="25" s="1"/>
  <c r="AL33" i="25"/>
  <c r="AL34" i="25" s="1"/>
  <c r="AL35" i="25" s="1"/>
  <c r="AL36" i="25" s="1"/>
  <c r="AL37" i="25" s="1"/>
  <c r="AL38" i="25" s="1"/>
  <c r="AK33" i="25"/>
  <c r="AK34" i="25" s="1"/>
  <c r="AK35" i="25" s="1"/>
  <c r="AK36" i="25" s="1"/>
  <c r="AK37" i="25" s="1"/>
  <c r="AK38" i="25" s="1"/>
  <c r="AK39" i="25" s="1"/>
  <c r="AJ33" i="25"/>
  <c r="AJ34" i="25" s="1"/>
  <c r="AJ35" i="25" s="1"/>
  <c r="AJ36" i="25" s="1"/>
  <c r="AJ37" i="25" s="1"/>
  <c r="AJ38" i="25" s="1"/>
  <c r="AI33" i="25"/>
  <c r="AI34" i="25" s="1"/>
  <c r="AI35" i="25" s="1"/>
  <c r="AI36" i="25" s="1"/>
  <c r="AI37" i="25" s="1"/>
  <c r="AI38" i="25" s="1"/>
  <c r="AI39" i="25" s="1"/>
  <c r="AH33" i="25"/>
  <c r="AH34" i="25" s="1"/>
  <c r="AH35" i="25" s="1"/>
  <c r="AH36" i="25" s="1"/>
  <c r="AH37" i="25" s="1"/>
  <c r="AH38" i="25" s="1"/>
  <c r="AG33" i="25"/>
  <c r="AG34" i="25" s="1"/>
  <c r="AG35" i="25" s="1"/>
  <c r="AG36" i="25" s="1"/>
  <c r="AG37" i="25" s="1"/>
  <c r="AG38" i="25" s="1"/>
  <c r="AG39" i="25" s="1"/>
  <c r="AF33" i="25"/>
  <c r="AF34" i="25" s="1"/>
  <c r="AF35" i="25" s="1"/>
  <c r="AF36" i="25" s="1"/>
  <c r="AF37" i="25" s="1"/>
  <c r="AF38" i="25" s="1"/>
  <c r="AE33" i="25"/>
  <c r="AE34" i="25" s="1"/>
  <c r="AE35" i="25" s="1"/>
  <c r="AE36" i="25" s="1"/>
  <c r="AE37" i="25" s="1"/>
  <c r="AE38" i="25" s="1"/>
  <c r="AE39" i="25" s="1"/>
  <c r="AD33" i="25"/>
  <c r="AD34" i="25" s="1"/>
  <c r="AD35" i="25" s="1"/>
  <c r="AD36" i="25" s="1"/>
  <c r="AD37" i="25" s="1"/>
  <c r="AD38" i="25" s="1"/>
  <c r="AC33" i="25"/>
  <c r="AC34" i="25" s="1"/>
  <c r="AC35" i="25" s="1"/>
  <c r="AC36" i="25" s="1"/>
  <c r="AC37" i="25" s="1"/>
  <c r="AC38" i="25" s="1"/>
  <c r="AC39" i="25" s="1"/>
  <c r="AB33" i="25"/>
  <c r="AB34" i="25" s="1"/>
  <c r="AB35" i="25" s="1"/>
  <c r="AB36" i="25" s="1"/>
  <c r="AB37" i="25" s="1"/>
  <c r="AB38" i="25" s="1"/>
  <c r="AA33" i="25"/>
  <c r="AA34" i="25" s="1"/>
  <c r="AA35" i="25" s="1"/>
  <c r="AA36" i="25" s="1"/>
  <c r="AA37" i="25" s="1"/>
  <c r="AA38" i="25" s="1"/>
  <c r="AA39" i="25" s="1"/>
  <c r="Z33" i="25"/>
  <c r="Z34" i="25" s="1"/>
  <c r="Z35" i="25" s="1"/>
  <c r="Z36" i="25" s="1"/>
  <c r="Z37" i="25" s="1"/>
  <c r="Z38" i="25" s="1"/>
  <c r="Y33" i="25"/>
  <c r="Y34" i="25" s="1"/>
  <c r="Y35" i="25" s="1"/>
  <c r="Y36" i="25" s="1"/>
  <c r="Y37" i="25" s="1"/>
  <c r="Y38" i="25" s="1"/>
  <c r="Y39" i="25" s="1"/>
  <c r="X33" i="25"/>
  <c r="X34" i="25" s="1"/>
  <c r="X35" i="25" s="1"/>
  <c r="X36" i="25" s="1"/>
  <c r="X37" i="25" s="1"/>
  <c r="X38" i="25" s="1"/>
  <c r="W33" i="25"/>
  <c r="W34" i="25" s="1"/>
  <c r="W35" i="25" s="1"/>
  <c r="W36" i="25" s="1"/>
  <c r="W37" i="25" s="1"/>
  <c r="W38" i="25" s="1"/>
  <c r="W39" i="25" s="1"/>
  <c r="V33" i="25"/>
  <c r="V34" i="25" s="1"/>
  <c r="V35" i="25" s="1"/>
  <c r="V36" i="25" s="1"/>
  <c r="V37" i="25" s="1"/>
  <c r="V38" i="25" s="1"/>
  <c r="U33" i="25"/>
  <c r="U34" i="25" s="1"/>
  <c r="U35" i="25" s="1"/>
  <c r="U36" i="25" s="1"/>
  <c r="U37" i="25" s="1"/>
  <c r="U38" i="25" s="1"/>
  <c r="U39" i="25" s="1"/>
  <c r="T33" i="25"/>
  <c r="T34" i="25" s="1"/>
  <c r="T35" i="25" s="1"/>
  <c r="T36" i="25" s="1"/>
  <c r="T37" i="25" s="1"/>
  <c r="T38" i="25" s="1"/>
  <c r="S33" i="25"/>
  <c r="S34" i="25" s="1"/>
  <c r="S35" i="25" s="1"/>
  <c r="S36" i="25" s="1"/>
  <c r="S37" i="25" s="1"/>
  <c r="S38" i="25" s="1"/>
  <c r="S39" i="25" s="1"/>
  <c r="Q33" i="25"/>
  <c r="Q34" i="25" s="1"/>
  <c r="Q35" i="25" s="1"/>
  <c r="Q36" i="25" s="1"/>
  <c r="Q37" i="25" s="1"/>
  <c r="Q38" i="25" s="1"/>
  <c r="P33" i="25"/>
  <c r="P34" i="25" s="1"/>
  <c r="P35" i="25" s="1"/>
  <c r="P36" i="25" s="1"/>
  <c r="P37" i="25" s="1"/>
  <c r="P38" i="25" s="1"/>
  <c r="P39" i="25" s="1"/>
  <c r="O33" i="25"/>
  <c r="O34" i="25" s="1"/>
  <c r="O35" i="25" s="1"/>
  <c r="O36" i="25" s="1"/>
  <c r="O37" i="25" s="1"/>
  <c r="O38" i="25" s="1"/>
  <c r="N33" i="25"/>
  <c r="N34" i="25" s="1"/>
  <c r="N35" i="25" s="1"/>
  <c r="N36" i="25" s="1"/>
  <c r="N37" i="25" s="1"/>
  <c r="N38" i="25" s="1"/>
  <c r="N39" i="25" s="1"/>
  <c r="M33" i="25"/>
  <c r="M34" i="25" s="1"/>
  <c r="M35" i="25" s="1"/>
  <c r="M36" i="25" s="1"/>
  <c r="M37" i="25" s="1"/>
  <c r="M38" i="25" s="1"/>
  <c r="L33" i="25"/>
  <c r="L34" i="25" s="1"/>
  <c r="L35" i="25" s="1"/>
  <c r="L36" i="25" s="1"/>
  <c r="L37" i="25" s="1"/>
  <c r="L38" i="25" s="1"/>
  <c r="L39" i="25" s="1"/>
  <c r="K33" i="25"/>
  <c r="K34" i="25" s="1"/>
  <c r="K35" i="25" s="1"/>
  <c r="K36" i="25" s="1"/>
  <c r="K37" i="25" s="1"/>
  <c r="K38" i="25" s="1"/>
  <c r="J33" i="25"/>
  <c r="J34" i="25" s="1"/>
  <c r="J35" i="25" s="1"/>
  <c r="J36" i="25" s="1"/>
  <c r="J37" i="25" s="1"/>
  <c r="J38" i="25" s="1"/>
  <c r="J39" i="25" s="1"/>
  <c r="I33" i="25"/>
  <c r="I34" i="25" s="1"/>
  <c r="I35" i="25" s="1"/>
  <c r="I36" i="25" s="1"/>
  <c r="I37" i="25" s="1"/>
  <c r="I38" i="25" s="1"/>
  <c r="H33" i="25"/>
  <c r="H34" i="25" s="1"/>
  <c r="H35" i="25" s="1"/>
  <c r="H36" i="25" s="1"/>
  <c r="H37" i="25" s="1"/>
  <c r="H38" i="25" s="1"/>
  <c r="H39" i="25" s="1"/>
  <c r="G33" i="25"/>
  <c r="G34" i="25" s="1"/>
  <c r="G35" i="25" s="1"/>
  <c r="G36" i="25" s="1"/>
  <c r="G37" i="25" s="1"/>
  <c r="G38" i="25" s="1"/>
  <c r="F33" i="25"/>
  <c r="F34" i="25" s="1"/>
  <c r="F35" i="25" s="1"/>
  <c r="F36" i="25" s="1"/>
  <c r="F37" i="25" s="1"/>
  <c r="F38" i="25" s="1"/>
  <c r="F39" i="25" s="1"/>
  <c r="E33" i="25"/>
  <c r="E34" i="25" s="1"/>
  <c r="E35" i="25" s="1"/>
  <c r="E36" i="25" s="1"/>
  <c r="E37" i="25" s="1"/>
  <c r="E38" i="25" s="1"/>
  <c r="D33" i="25"/>
  <c r="D34" i="25" s="1"/>
  <c r="D35" i="25" s="1"/>
  <c r="D36" i="25" s="1"/>
  <c r="D37" i="25" s="1"/>
  <c r="D38" i="25" s="1"/>
  <c r="D39" i="25" s="1"/>
  <c r="C33" i="25"/>
  <c r="C34" i="25" s="1"/>
  <c r="C35" i="25" s="1"/>
  <c r="C36" i="25" s="1"/>
  <c r="C37" i="25" s="1"/>
  <c r="C38" i="25" s="1"/>
  <c r="C32" i="25"/>
  <c r="C20" i="8"/>
  <c r="C19" i="8"/>
  <c r="C18" i="8"/>
  <c r="C17" i="8"/>
  <c r="C16" i="8"/>
  <c r="C15" i="8"/>
  <c r="C14" i="8"/>
  <c r="C13" i="8"/>
  <c r="C12" i="8"/>
  <c r="C10" i="8"/>
  <c r="C9" i="8"/>
  <c r="C8" i="8"/>
  <c r="C7" i="8"/>
  <c r="C6" i="8"/>
  <c r="C5" i="8"/>
  <c r="C4" i="8"/>
  <c r="C3" i="8"/>
  <c r="C2" i="8"/>
  <c r="AV39" i="35" l="1"/>
  <c r="H30" i="29"/>
  <c r="BC39" i="25"/>
  <c r="BD39" i="25"/>
  <c r="AV39" i="25"/>
  <c r="AX39" i="35"/>
  <c r="AW39" i="35"/>
  <c r="AU39" i="18"/>
  <c r="AY39" i="25"/>
  <c r="AW39" i="25"/>
  <c r="BA39" i="25"/>
  <c r="AP39" i="25"/>
  <c r="AH39" i="25"/>
  <c r="Z39" i="25"/>
  <c r="Q39" i="25"/>
  <c r="I39" i="25"/>
  <c r="AN39" i="25"/>
  <c r="AF39" i="25"/>
  <c r="X39" i="25"/>
  <c r="O39" i="25"/>
  <c r="G39" i="25"/>
  <c r="AT39" i="25"/>
  <c r="AL39" i="25"/>
  <c r="AD39" i="25"/>
  <c r="V39" i="25"/>
  <c r="M39" i="25"/>
  <c r="E39" i="25"/>
  <c r="AR39" i="25"/>
  <c r="AJ39" i="25"/>
  <c r="AB39" i="25"/>
  <c r="T39" i="25"/>
  <c r="K39" i="25"/>
  <c r="BH39" i="25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4" i="24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4" i="24"/>
  <c r="AG5" i="24"/>
  <c r="AG6" i="24"/>
  <c r="AG7" i="24"/>
  <c r="AG8" i="24"/>
  <c r="AG9" i="24"/>
  <c r="AG10" i="24"/>
  <c r="AG11" i="24"/>
  <c r="AG12" i="24"/>
  <c r="AG13" i="24"/>
  <c r="AG14" i="24"/>
  <c r="AG15" i="24"/>
  <c r="AG16" i="24"/>
  <c r="AG17" i="24"/>
  <c r="AG18" i="24"/>
  <c r="AG19" i="24"/>
  <c r="AG20" i="24"/>
  <c r="AG21" i="24"/>
  <c r="AG22" i="24"/>
  <c r="AG23" i="24"/>
  <c r="AG24" i="24"/>
  <c r="AG25" i="24"/>
  <c r="AG26" i="24"/>
  <c r="AG27" i="24"/>
  <c r="AG28" i="24"/>
  <c r="AG29" i="24"/>
  <c r="AG30" i="24"/>
  <c r="AG4" i="24"/>
  <c r="AS30" i="24" l="1"/>
  <c r="AS29" i="24"/>
  <c r="AS28" i="24"/>
  <c r="AS27" i="24"/>
  <c r="AS26" i="24"/>
  <c r="AS25" i="24"/>
  <c r="AS24" i="24"/>
  <c r="AS23" i="24"/>
  <c r="AS22" i="24"/>
  <c r="AS21" i="24"/>
  <c r="AS20" i="24"/>
  <c r="AS19" i="24"/>
  <c r="AS18" i="24"/>
  <c r="AS17" i="24"/>
  <c r="AS16" i="24"/>
  <c r="AS15" i="24"/>
  <c r="AS14" i="24"/>
  <c r="AS13" i="24"/>
  <c r="AS12" i="24"/>
  <c r="AS11" i="24"/>
  <c r="AS10" i="24"/>
  <c r="AS9" i="24"/>
  <c r="AS8" i="24"/>
  <c r="AS7" i="24"/>
  <c r="AS6" i="24"/>
  <c r="L33" i="24"/>
  <c r="L34" i="24" s="1"/>
  <c r="L35" i="24" s="1"/>
  <c r="L36" i="24" s="1"/>
  <c r="L37" i="24" s="1"/>
  <c r="L38" i="24" s="1"/>
  <c r="AG33" i="24"/>
  <c r="AG34" i="24" s="1"/>
  <c r="AG35" i="24" s="1"/>
  <c r="AG36" i="24" s="1"/>
  <c r="AG37" i="24" s="1"/>
  <c r="AG38" i="24" s="1"/>
  <c r="AS5" i="24"/>
  <c r="W33" i="24"/>
  <c r="W34" i="24" s="1"/>
  <c r="W35" i="24" s="1"/>
  <c r="W36" i="24" s="1"/>
  <c r="W37" i="24" s="1"/>
  <c r="W38" i="24" s="1"/>
  <c r="AS4" i="24"/>
  <c r="AG3" i="22"/>
  <c r="BC5" i="18"/>
  <c r="BC6" i="18"/>
  <c r="BC7" i="18"/>
  <c r="BC8" i="18"/>
  <c r="BC9" i="18"/>
  <c r="BC10" i="18"/>
  <c r="BC11" i="18"/>
  <c r="BC12" i="18"/>
  <c r="BC13" i="18"/>
  <c r="BC14" i="18"/>
  <c r="BC15" i="18"/>
  <c r="BC16" i="18"/>
  <c r="BC17" i="18"/>
  <c r="BC18" i="18"/>
  <c r="BC19" i="18"/>
  <c r="BC20" i="18"/>
  <c r="BC21" i="18"/>
  <c r="BC22" i="18"/>
  <c r="BC23" i="18"/>
  <c r="BC24" i="18"/>
  <c r="BC25" i="18"/>
  <c r="BC26" i="18"/>
  <c r="BC27" i="18"/>
  <c r="BC28" i="18"/>
  <c r="BC29" i="18"/>
  <c r="BC4" i="18"/>
  <c r="AM5" i="18"/>
  <c r="AM6" i="18"/>
  <c r="AM7" i="18"/>
  <c r="AM8" i="18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3" i="18"/>
  <c r="AM24" i="18"/>
  <c r="AM25" i="18"/>
  <c r="AM26" i="18"/>
  <c r="AM27" i="18"/>
  <c r="AM28" i="18"/>
  <c r="AM29" i="18"/>
  <c r="AM4" i="18"/>
  <c r="AC5" i="18"/>
  <c r="AC6" i="18"/>
  <c r="AC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8" i="18"/>
  <c r="R19" i="18"/>
  <c r="R20" i="18"/>
  <c r="R21" i="18"/>
  <c r="R22" i="18"/>
  <c r="BD22" i="18" s="1"/>
  <c r="R23" i="18"/>
  <c r="R24" i="18"/>
  <c r="R25" i="18"/>
  <c r="R26" i="18"/>
  <c r="R27" i="18"/>
  <c r="R28" i="18"/>
  <c r="R29" i="18"/>
  <c r="R4" i="18"/>
  <c r="J5" i="18"/>
  <c r="J6" i="18"/>
  <c r="BD6" i="18" s="1"/>
  <c r="J7" i="18"/>
  <c r="J8" i="18"/>
  <c r="J9" i="18"/>
  <c r="J10" i="18"/>
  <c r="BD10" i="18" s="1"/>
  <c r="J11" i="18"/>
  <c r="J12" i="18"/>
  <c r="J13" i="18"/>
  <c r="J14" i="18"/>
  <c r="BD14" i="18" s="1"/>
  <c r="J15" i="18"/>
  <c r="J16" i="18"/>
  <c r="J17" i="18"/>
  <c r="J18" i="18"/>
  <c r="J19" i="18"/>
  <c r="J20" i="18"/>
  <c r="J21" i="18"/>
  <c r="J23" i="18"/>
  <c r="J24" i="18"/>
  <c r="J25" i="18"/>
  <c r="J26" i="18"/>
  <c r="J27" i="18"/>
  <c r="J28" i="18"/>
  <c r="J29" i="18"/>
  <c r="J4" i="18"/>
  <c r="BL5" i="25"/>
  <c r="BL6" i="25"/>
  <c r="BL7" i="25"/>
  <c r="BL8" i="25"/>
  <c r="BL9" i="25"/>
  <c r="BL10" i="25"/>
  <c r="BL11" i="25"/>
  <c r="BL12" i="25"/>
  <c r="BL13" i="25"/>
  <c r="BL14" i="25"/>
  <c r="BL15" i="25"/>
  <c r="BL16" i="25"/>
  <c r="BL17" i="25"/>
  <c r="BL18" i="25"/>
  <c r="BL19" i="25"/>
  <c r="BL20" i="25"/>
  <c r="BL21" i="25"/>
  <c r="BL22" i="25"/>
  <c r="BL23" i="25"/>
  <c r="BL24" i="25"/>
  <c r="BL25" i="25"/>
  <c r="BL26" i="25"/>
  <c r="BL27" i="25"/>
  <c r="BL28" i="25"/>
  <c r="BL29" i="25"/>
  <c r="BL4" i="25"/>
  <c r="AS33" i="24" l="1"/>
  <c r="AS34" i="24" s="1"/>
  <c r="AS35" i="24" s="1"/>
  <c r="AS36" i="24" s="1"/>
  <c r="AS37" i="24" s="1"/>
  <c r="BD29" i="18"/>
  <c r="BD28" i="18"/>
  <c r="BD27" i="18"/>
  <c r="BD26" i="18"/>
  <c r="BD25" i="18"/>
  <c r="BD24" i="18"/>
  <c r="BD23" i="18"/>
  <c r="BD21" i="18"/>
  <c r="BD20" i="18"/>
  <c r="BD19" i="18"/>
  <c r="BD18" i="18"/>
  <c r="BD17" i="18"/>
  <c r="BD16" i="18"/>
  <c r="BD15" i="18"/>
  <c r="BD13" i="18"/>
  <c r="BD12" i="18"/>
  <c r="BD11" i="18"/>
  <c r="AM33" i="18"/>
  <c r="AM34" i="18" s="1"/>
  <c r="AM35" i="18" s="1"/>
  <c r="AM36" i="18" s="1"/>
  <c r="AM37" i="18" s="1"/>
  <c r="AM38" i="18" s="1"/>
  <c r="BD9" i="18"/>
  <c r="BD8" i="18"/>
  <c r="BD7" i="18"/>
  <c r="R33" i="18"/>
  <c r="R34" i="18" s="1"/>
  <c r="R35" i="18" s="1"/>
  <c r="R36" i="18" s="1"/>
  <c r="R37" i="18" s="1"/>
  <c r="R38" i="18" s="1"/>
  <c r="BD5" i="18"/>
  <c r="BC33" i="18"/>
  <c r="BC34" i="18" s="1"/>
  <c r="BC35" i="18" s="1"/>
  <c r="BC36" i="18" s="1"/>
  <c r="BC37" i="18" s="1"/>
  <c r="BC38" i="18" s="1"/>
  <c r="BC32" i="18"/>
  <c r="J33" i="18"/>
  <c r="J34" i="18" s="1"/>
  <c r="J35" i="18" s="1"/>
  <c r="J36" i="18" s="1"/>
  <c r="J37" i="18" s="1"/>
  <c r="J38" i="18" s="1"/>
  <c r="BD4" i="18"/>
  <c r="AC33" i="18"/>
  <c r="AC34" i="18" s="1"/>
  <c r="AC35" i="18" s="1"/>
  <c r="AC36" i="18" s="1"/>
  <c r="AC37" i="18" s="1"/>
  <c r="AC38" i="18" s="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" i="11"/>
  <c r="AC4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" i="11"/>
  <c r="AA4" i="11"/>
  <c r="AA5" i="11"/>
  <c r="AI5" i="11" s="1"/>
  <c r="AA6" i="11"/>
  <c r="AA7" i="11"/>
  <c r="AA8" i="11"/>
  <c r="AA9" i="11"/>
  <c r="AI9" i="11" s="1"/>
  <c r="AA10" i="11"/>
  <c r="AA11" i="11"/>
  <c r="AA12" i="11"/>
  <c r="AA13" i="11"/>
  <c r="AI13" i="11" s="1"/>
  <c r="AA14" i="11"/>
  <c r="AA15" i="11"/>
  <c r="AA16" i="11"/>
  <c r="AA17" i="11"/>
  <c r="AI17" i="11" s="1"/>
  <c r="AA18" i="11"/>
  <c r="AA19" i="11"/>
  <c r="AA20" i="11"/>
  <c r="AA21" i="11"/>
  <c r="AI21" i="11" s="1"/>
  <c r="AA22" i="11"/>
  <c r="AA23" i="11"/>
  <c r="AA24" i="11"/>
  <c r="AA25" i="11"/>
  <c r="AI25" i="11" s="1"/>
  <c r="AA26" i="11"/>
  <c r="AA27" i="11"/>
  <c r="AA28" i="11"/>
  <c r="AA29" i="11"/>
  <c r="AI29" i="11" s="1"/>
  <c r="AA3" i="11"/>
  <c r="Y4" i="11"/>
  <c r="Y5" i="11"/>
  <c r="Y6" i="11"/>
  <c r="Y7" i="11"/>
  <c r="Y8" i="11"/>
  <c r="Y9" i="11"/>
  <c r="Y10" i="11"/>
  <c r="Y11" i="11"/>
  <c r="Y12" i="11"/>
  <c r="Y13" i="11"/>
  <c r="Y14" i="11"/>
  <c r="Y15" i="11"/>
  <c r="Y16" i="11"/>
  <c r="AI16" i="11" s="1"/>
  <c r="Y17" i="11"/>
  <c r="Y18" i="11"/>
  <c r="Y19" i="11"/>
  <c r="Y20" i="11"/>
  <c r="AI20" i="11" s="1"/>
  <c r="Y21" i="11"/>
  <c r="Y22" i="11"/>
  <c r="Y23" i="11"/>
  <c r="Y24" i="11"/>
  <c r="AI24" i="11" s="1"/>
  <c r="Y25" i="11"/>
  <c r="Y26" i="11"/>
  <c r="Y27" i="11"/>
  <c r="Y28" i="11"/>
  <c r="AI28" i="11" s="1"/>
  <c r="Y29" i="11"/>
  <c r="Y3" i="11"/>
  <c r="AI8" i="11" l="1"/>
  <c r="AI12" i="11"/>
  <c r="AI4" i="11"/>
  <c r="AI27" i="11"/>
  <c r="AI23" i="11"/>
  <c r="AI19" i="11"/>
  <c r="AI15" i="11"/>
  <c r="AI11" i="11"/>
  <c r="AI7" i="11"/>
  <c r="AI3" i="11"/>
  <c r="AI26" i="11"/>
  <c r="AI22" i="11"/>
  <c r="AI18" i="11"/>
  <c r="AI14" i="11"/>
  <c r="AI10" i="11"/>
  <c r="AI6" i="11"/>
  <c r="BD32" i="18"/>
  <c r="BD33" i="18"/>
  <c r="BD34" i="18" s="1"/>
  <c r="BD35" i="18" s="1"/>
  <c r="BD36" i="18" s="1"/>
  <c r="BD37" i="18" s="1"/>
  <c r="BD38" i="18" s="1"/>
  <c r="BC39" i="18"/>
  <c r="W4" i="11"/>
  <c r="AH4" i="11" s="1"/>
  <c r="W5" i="11"/>
  <c r="AH5" i="11" s="1"/>
  <c r="W6" i="11"/>
  <c r="AH6" i="11" s="1"/>
  <c r="W7" i="11"/>
  <c r="AH7" i="11" s="1"/>
  <c r="W8" i="11"/>
  <c r="AH8" i="11" s="1"/>
  <c r="W9" i="11"/>
  <c r="AH9" i="11" s="1"/>
  <c r="W10" i="11"/>
  <c r="AH10" i="11" s="1"/>
  <c r="W11" i="11"/>
  <c r="AH11" i="11" s="1"/>
  <c r="W12" i="11"/>
  <c r="AH12" i="11" s="1"/>
  <c r="W13" i="11"/>
  <c r="AH13" i="11" s="1"/>
  <c r="W14" i="11"/>
  <c r="AH14" i="11" s="1"/>
  <c r="W15" i="11"/>
  <c r="AH15" i="11" s="1"/>
  <c r="W16" i="11"/>
  <c r="AH16" i="11" s="1"/>
  <c r="W17" i="11"/>
  <c r="AH17" i="11" s="1"/>
  <c r="W18" i="11"/>
  <c r="AH18" i="11" s="1"/>
  <c r="W19" i="11"/>
  <c r="AH19" i="11" s="1"/>
  <c r="W20" i="11"/>
  <c r="AH20" i="11" s="1"/>
  <c r="W21" i="11"/>
  <c r="AH21" i="11" s="1"/>
  <c r="W22" i="11"/>
  <c r="AH22" i="11" s="1"/>
  <c r="W23" i="11"/>
  <c r="AH23" i="11" s="1"/>
  <c r="W24" i="11"/>
  <c r="AH24" i="11" s="1"/>
  <c r="W25" i="11"/>
  <c r="AH25" i="11" s="1"/>
  <c r="W26" i="11"/>
  <c r="AH26" i="11" s="1"/>
  <c r="W27" i="11"/>
  <c r="AH27" i="11" s="1"/>
  <c r="W28" i="11"/>
  <c r="AH28" i="11" s="1"/>
  <c r="W29" i="11"/>
  <c r="AH29" i="11" s="1"/>
  <c r="W3" i="11"/>
  <c r="AH3" i="11" s="1"/>
  <c r="Z32" i="22"/>
  <c r="X32" i="22"/>
  <c r="BD39" i="18" l="1"/>
  <c r="G25" i="33"/>
  <c r="K25" i="33"/>
  <c r="I25" i="33"/>
  <c r="E25" i="33"/>
  <c r="C25" i="33"/>
  <c r="G24" i="33"/>
  <c r="K24" i="33"/>
  <c r="I24" i="33"/>
  <c r="E24" i="33"/>
  <c r="C24" i="33"/>
  <c r="G23" i="33"/>
  <c r="K23" i="33"/>
  <c r="I23" i="33"/>
  <c r="E23" i="33"/>
  <c r="C23" i="33"/>
  <c r="G22" i="33"/>
  <c r="K22" i="33"/>
  <c r="I22" i="33"/>
  <c r="E22" i="33"/>
  <c r="C22" i="33"/>
  <c r="G21" i="33"/>
  <c r="K21" i="33"/>
  <c r="I21" i="33"/>
  <c r="E21" i="33"/>
  <c r="C21" i="33"/>
  <c r="G20" i="33"/>
  <c r="K20" i="33"/>
  <c r="I20" i="33"/>
  <c r="E20" i="33"/>
  <c r="C20" i="33"/>
  <c r="G19" i="33"/>
  <c r="K19" i="33"/>
  <c r="I19" i="33"/>
  <c r="E19" i="33"/>
  <c r="C19" i="33"/>
  <c r="G18" i="33"/>
  <c r="K18" i="33"/>
  <c r="I18" i="33"/>
  <c r="E18" i="33"/>
  <c r="C18" i="33"/>
  <c r="G17" i="33"/>
  <c r="K17" i="33"/>
  <c r="I17" i="33"/>
  <c r="E17" i="33"/>
  <c r="C17" i="33"/>
  <c r="E11" i="33" l="1"/>
  <c r="E10" i="33"/>
  <c r="E9" i="33"/>
  <c r="E8" i="33"/>
  <c r="E7" i="33"/>
  <c r="E6" i="33"/>
  <c r="E5" i="33"/>
  <c r="E4" i="33"/>
  <c r="E3" i="33"/>
  <c r="K11" i="33"/>
  <c r="K10" i="33"/>
  <c r="K9" i="33"/>
  <c r="K8" i="33"/>
  <c r="K7" i="33"/>
  <c r="K6" i="33"/>
  <c r="K5" i="33"/>
  <c r="K4" i="33"/>
  <c r="K3" i="33"/>
  <c r="C10" i="33"/>
  <c r="G11" i="33"/>
  <c r="G10" i="33"/>
  <c r="G9" i="33"/>
  <c r="G8" i="33"/>
  <c r="G7" i="33"/>
  <c r="G6" i="33"/>
  <c r="G5" i="33"/>
  <c r="G4" i="33"/>
  <c r="G3" i="33"/>
  <c r="I11" i="33"/>
  <c r="I10" i="33"/>
  <c r="I9" i="33"/>
  <c r="I8" i="33"/>
  <c r="I7" i="33"/>
  <c r="I6" i="33"/>
  <c r="I5" i="33"/>
  <c r="I4" i="33"/>
  <c r="I3" i="33"/>
  <c r="C4" i="33"/>
  <c r="C5" i="33"/>
  <c r="C6" i="33"/>
  <c r="C7" i="33"/>
  <c r="C8" i="33"/>
  <c r="C9" i="33"/>
  <c r="C11" i="33"/>
  <c r="C3" i="33"/>
  <c r="BF33" i="25" l="1"/>
  <c r="BF34" i="25" l="1"/>
  <c r="BF35" i="25" s="1"/>
  <c r="BF36" i="25" s="1"/>
  <c r="BF37" i="25" s="1"/>
  <c r="BF38" i="25" s="1"/>
  <c r="E31" i="10"/>
  <c r="F31" i="10"/>
  <c r="E32" i="10"/>
  <c r="F32" i="10"/>
  <c r="E33" i="10"/>
  <c r="F33" i="10"/>
  <c r="BF39" i="25" l="1"/>
  <c r="D31" i="31"/>
  <c r="E31" i="31"/>
  <c r="F31" i="31"/>
  <c r="G31" i="31"/>
  <c r="H31" i="31"/>
  <c r="I31" i="31"/>
  <c r="J31" i="31"/>
  <c r="C31" i="31"/>
  <c r="K31" i="31" l="1"/>
  <c r="V16" i="11" l="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15" i="11"/>
  <c r="V4" i="11"/>
  <c r="V5" i="11"/>
  <c r="V6" i="11"/>
  <c r="V7" i="11"/>
  <c r="V8" i="11"/>
  <c r="V9" i="11"/>
  <c r="V10" i="11"/>
  <c r="V11" i="11"/>
  <c r="V12" i="11"/>
  <c r="V13" i="11"/>
  <c r="V14" i="11"/>
  <c r="V3" i="11"/>
  <c r="D30" i="32" l="1"/>
  <c r="D31" i="32" s="1"/>
  <c r="C30" i="32"/>
  <c r="C31" i="32" s="1"/>
  <c r="C32" i="32" l="1"/>
  <c r="C33" i="32" s="1"/>
  <c r="C34" i="32" s="1"/>
  <c r="C35" i="32" s="1"/>
  <c r="C36" i="32" s="1"/>
  <c r="D32" i="32"/>
  <c r="D33" i="32" s="1"/>
  <c r="D34" i="32" s="1"/>
  <c r="D35" i="32" s="1"/>
  <c r="D36" i="32" s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" i="11"/>
  <c r="C37" i="32" l="1"/>
  <c r="D37" i="32"/>
  <c r="K4" i="26" l="1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" i="26"/>
  <c r="N16" i="10" l="1"/>
  <c r="N18" i="10"/>
  <c r="N17" i="10"/>
  <c r="N15" i="10"/>
  <c r="H4" i="11" l="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" i="11"/>
  <c r="N14" i="10" l="1"/>
  <c r="O14" i="10" s="1"/>
  <c r="O15" i="10" s="1"/>
  <c r="O16" i="10" s="1"/>
  <c r="O17" i="10" s="1"/>
  <c r="O18" i="10" s="1"/>
  <c r="O2" i="10"/>
  <c r="O3" i="10" s="1"/>
  <c r="O4" i="10" s="1"/>
  <c r="O5" i="10" s="1"/>
  <c r="O6" i="10" s="1"/>
  <c r="O7" i="10" s="1"/>
  <c r="O8" i="10" s="1"/>
  <c r="O9" i="10" s="1"/>
  <c r="O10" i="10" s="1"/>
  <c r="O11" i="10" s="1"/>
  <c r="C34" i="8" l="1"/>
  <c r="U32" i="22" l="1"/>
  <c r="R32" i="22"/>
  <c r="S32" i="22" l="1"/>
  <c r="AN4" i="12" l="1"/>
  <c r="AN5" i="12"/>
  <c r="AN6" i="12"/>
  <c r="AN7" i="12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" i="12"/>
  <c r="P32" i="22" l="1"/>
  <c r="D31" i="10" l="1"/>
  <c r="D32" i="10"/>
  <c r="D33" i="10"/>
  <c r="BK32" i="18" l="1"/>
  <c r="C31" i="10" l="1"/>
  <c r="C32" i="10"/>
  <c r="C33" i="10"/>
  <c r="B33" i="10" l="1"/>
  <c r="B32" i="10"/>
  <c r="B31" i="10"/>
  <c r="K28" i="30" l="1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0" i="30"/>
  <c r="K9" i="30"/>
  <c r="K8" i="30"/>
  <c r="K7" i="30"/>
  <c r="K6" i="30"/>
  <c r="K5" i="30"/>
  <c r="K4" i="30"/>
  <c r="L3" i="30" l="1"/>
  <c r="L4" i="30"/>
  <c r="L8" i="30"/>
  <c r="L14" i="30"/>
  <c r="L18" i="30"/>
  <c r="L22" i="30"/>
  <c r="L26" i="30"/>
  <c r="L5" i="30"/>
  <c r="L19" i="30"/>
  <c r="L6" i="30"/>
  <c r="L10" i="30"/>
  <c r="L12" i="30"/>
  <c r="L16" i="30"/>
  <c r="L20" i="30"/>
  <c r="L24" i="30"/>
  <c r="L28" i="30"/>
  <c r="L11" i="30"/>
  <c r="L13" i="30"/>
  <c r="L17" i="30"/>
  <c r="L21" i="30"/>
  <c r="L25" i="30"/>
  <c r="L29" i="30"/>
  <c r="L9" i="30"/>
  <c r="L15" i="30"/>
  <c r="L23" i="30"/>
  <c r="L27" i="30"/>
  <c r="L7" i="30"/>
  <c r="C3" i="29"/>
  <c r="H21" i="29"/>
  <c r="H25" i="29"/>
  <c r="H28" i="29" l="1"/>
  <c r="H24" i="29"/>
  <c r="H20" i="29"/>
  <c r="H16" i="29"/>
  <c r="H12" i="29"/>
  <c r="H8" i="29"/>
  <c r="H4" i="29"/>
  <c r="H17" i="29"/>
  <c r="H27" i="29"/>
  <c r="H23" i="29"/>
  <c r="H19" i="29"/>
  <c r="H15" i="29"/>
  <c r="H11" i="29"/>
  <c r="H7" i="29"/>
  <c r="H3" i="29"/>
  <c r="H13" i="29"/>
  <c r="H9" i="29"/>
  <c r="H5" i="29"/>
  <c r="H29" i="29"/>
  <c r="H26" i="29"/>
  <c r="H22" i="29"/>
  <c r="H18" i="29"/>
  <c r="H14" i="29"/>
  <c r="H10" i="29"/>
  <c r="H6" i="29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G32" i="22" l="1"/>
  <c r="AY5" i="24"/>
  <c r="AY6" i="24"/>
  <c r="AY7" i="24"/>
  <c r="AY8" i="24"/>
  <c r="AY9" i="24"/>
  <c r="AY10" i="24"/>
  <c r="AY11" i="24"/>
  <c r="AY12" i="24"/>
  <c r="AY13" i="24"/>
  <c r="AY14" i="24"/>
  <c r="AY15" i="24"/>
  <c r="AY16" i="24"/>
  <c r="AY17" i="24"/>
  <c r="AY18" i="24"/>
  <c r="AY19" i="24"/>
  <c r="AY20" i="24"/>
  <c r="AY21" i="24"/>
  <c r="AY22" i="24"/>
  <c r="AY23" i="24"/>
  <c r="AY24" i="24"/>
  <c r="AY25" i="24"/>
  <c r="AY26" i="24"/>
  <c r="AY28" i="24"/>
  <c r="AY29" i="24"/>
  <c r="AY30" i="24"/>
  <c r="AY4" i="24"/>
  <c r="AE4" i="12" l="1"/>
  <c r="AE5" i="12"/>
  <c r="AE6" i="12"/>
  <c r="AE7" i="12"/>
  <c r="AE8" i="12"/>
  <c r="AE9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" i="12"/>
  <c r="BE32" i="25"/>
  <c r="H32" i="23" l="1"/>
  <c r="O32" i="24" l="1"/>
  <c r="P32" i="24"/>
  <c r="Q32" i="24"/>
  <c r="R32" i="24"/>
  <c r="S32" i="24"/>
  <c r="T32" i="24"/>
  <c r="U32" i="24"/>
  <c r="V32" i="24"/>
  <c r="W32" i="24"/>
  <c r="X32" i="24"/>
  <c r="Y32" i="24"/>
  <c r="Z32" i="24"/>
  <c r="AA32" i="24"/>
  <c r="AB32" i="24"/>
  <c r="AC32" i="24"/>
  <c r="AD32" i="24"/>
  <c r="AE32" i="24"/>
  <c r="AF32" i="24"/>
  <c r="AG32" i="24"/>
  <c r="AH32" i="24"/>
  <c r="AI32" i="24"/>
  <c r="AJ32" i="24"/>
  <c r="AK32" i="24"/>
  <c r="AL32" i="24"/>
  <c r="AM32" i="24"/>
  <c r="AN32" i="24"/>
  <c r="AO32" i="24"/>
  <c r="AP32" i="24"/>
  <c r="AQ32" i="24"/>
  <c r="AT32" i="24"/>
  <c r="D32" i="24"/>
  <c r="E32" i="24"/>
  <c r="F32" i="24"/>
  <c r="G32" i="24"/>
  <c r="H32" i="24"/>
  <c r="I32" i="24"/>
  <c r="J32" i="24"/>
  <c r="K32" i="24"/>
  <c r="L32" i="24"/>
  <c r="N32" i="24"/>
  <c r="M32" i="24"/>
  <c r="C32" i="23"/>
  <c r="D32" i="23"/>
  <c r="E32" i="23"/>
  <c r="F32" i="23"/>
  <c r="G32" i="23"/>
  <c r="I32" i="23"/>
  <c r="J32" i="23"/>
  <c r="K32" i="23"/>
  <c r="L32" i="23"/>
  <c r="M32" i="23"/>
  <c r="D49" i="20"/>
  <c r="D42" i="20"/>
  <c r="D35" i="20"/>
  <c r="D27" i="20"/>
  <c r="D20" i="20"/>
  <c r="D14" i="20"/>
  <c r="C45" i="20"/>
  <c r="C46" i="20"/>
  <c r="C47" i="20"/>
  <c r="C48" i="20"/>
  <c r="C39" i="20"/>
  <c r="C40" i="20"/>
  <c r="C41" i="20"/>
  <c r="C31" i="20"/>
  <c r="C32" i="20"/>
  <c r="C33" i="20"/>
  <c r="C34" i="20"/>
  <c r="C22" i="20"/>
  <c r="C23" i="20"/>
  <c r="C24" i="20"/>
  <c r="C25" i="20"/>
  <c r="C26" i="20"/>
  <c r="C16" i="20"/>
  <c r="C17" i="20"/>
  <c r="C18" i="20"/>
  <c r="C19" i="20"/>
  <c r="C10" i="20"/>
  <c r="C11" i="20"/>
  <c r="C12" i="20"/>
  <c r="C13" i="20"/>
  <c r="D8" i="20"/>
  <c r="C4" i="20"/>
  <c r="C5" i="20"/>
  <c r="C6" i="20"/>
  <c r="C7" i="20"/>
  <c r="C44" i="20"/>
  <c r="C38" i="20"/>
  <c r="C37" i="20"/>
  <c r="C30" i="20"/>
  <c r="C29" i="20"/>
  <c r="C21" i="20"/>
  <c r="C15" i="20"/>
  <c r="C9" i="20"/>
  <c r="C3" i="20"/>
  <c r="BG32" i="25" l="1"/>
  <c r="AU32" i="25"/>
  <c r="AT32" i="25"/>
  <c r="AS32" i="25"/>
  <c r="AR32" i="25"/>
  <c r="AQ32" i="25"/>
  <c r="AP32" i="25"/>
  <c r="AO32" i="25"/>
  <c r="AN32" i="25"/>
  <c r="AM32" i="25"/>
  <c r="AL32" i="25"/>
  <c r="AK32" i="25"/>
  <c r="AJ32" i="25"/>
  <c r="AI32" i="25"/>
  <c r="AH32" i="25"/>
  <c r="AG32" i="25"/>
  <c r="AF32" i="25"/>
  <c r="AE32" i="25"/>
  <c r="AC32" i="25"/>
  <c r="AB32" i="25"/>
  <c r="AA32" i="25"/>
  <c r="Z32" i="25"/>
  <c r="Y32" i="25"/>
  <c r="X32" i="25"/>
  <c r="W32" i="25"/>
  <c r="V32" i="25"/>
  <c r="U32" i="25"/>
  <c r="T32" i="25"/>
  <c r="S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BJ29" i="25"/>
  <c r="BI29" i="25"/>
  <c r="BJ28" i="25"/>
  <c r="BI28" i="25"/>
  <c r="BJ27" i="25"/>
  <c r="BI27" i="25"/>
  <c r="BJ26" i="25"/>
  <c r="BI26" i="25"/>
  <c r="BJ25" i="25"/>
  <c r="BI25" i="25"/>
  <c r="BJ24" i="25"/>
  <c r="BI24" i="25"/>
  <c r="BJ23" i="25"/>
  <c r="BI23" i="25"/>
  <c r="BJ22" i="25"/>
  <c r="BI22" i="25"/>
  <c r="BJ21" i="25"/>
  <c r="BI21" i="25"/>
  <c r="BJ20" i="25"/>
  <c r="BI20" i="25"/>
  <c r="BJ19" i="25"/>
  <c r="BI19" i="25"/>
  <c r="BJ18" i="25"/>
  <c r="BI18" i="25"/>
  <c r="BJ17" i="25"/>
  <c r="BI17" i="25"/>
  <c r="BJ16" i="25"/>
  <c r="BI16" i="25"/>
  <c r="BJ15" i="25"/>
  <c r="BI15" i="25"/>
  <c r="BJ14" i="25"/>
  <c r="BI14" i="25"/>
  <c r="BJ13" i="25"/>
  <c r="BI13" i="25"/>
  <c r="BJ12" i="25"/>
  <c r="BI12" i="25"/>
  <c r="BJ11" i="25"/>
  <c r="BI11" i="25"/>
  <c r="BJ10" i="25"/>
  <c r="BI10" i="25"/>
  <c r="BJ9" i="25"/>
  <c r="BI9" i="25"/>
  <c r="BJ8" i="25"/>
  <c r="BI8" i="25"/>
  <c r="BJ7" i="25"/>
  <c r="BI7" i="25"/>
  <c r="BJ6" i="25"/>
  <c r="BI6" i="25"/>
  <c r="BJ5" i="25"/>
  <c r="BI5" i="25"/>
  <c r="AW30" i="24"/>
  <c r="AV30" i="24"/>
  <c r="AW29" i="24"/>
  <c r="AV29" i="24"/>
  <c r="AW28" i="24"/>
  <c r="AV28" i="24"/>
  <c r="AW27" i="24"/>
  <c r="AV27" i="24"/>
  <c r="AW26" i="24"/>
  <c r="AV26" i="24"/>
  <c r="AW25" i="24"/>
  <c r="AV25" i="24"/>
  <c r="AW24" i="24"/>
  <c r="AV24" i="24"/>
  <c r="AW23" i="24"/>
  <c r="AV23" i="24"/>
  <c r="AW22" i="24"/>
  <c r="AV22" i="24"/>
  <c r="AW21" i="24"/>
  <c r="AV21" i="24"/>
  <c r="AW20" i="24"/>
  <c r="AV20" i="24"/>
  <c r="AW19" i="24"/>
  <c r="AV19" i="24"/>
  <c r="AW18" i="24"/>
  <c r="AV18" i="24"/>
  <c r="AW17" i="24"/>
  <c r="AV17" i="24"/>
  <c r="AW16" i="24"/>
  <c r="AV16" i="24"/>
  <c r="AW15" i="24"/>
  <c r="AV15" i="24"/>
  <c r="AW14" i="24"/>
  <c r="AW13" i="24"/>
  <c r="AV13" i="24"/>
  <c r="AW12" i="24"/>
  <c r="AV12" i="24"/>
  <c r="AW11" i="24"/>
  <c r="AV11" i="24"/>
  <c r="AW10" i="24"/>
  <c r="AV10" i="24"/>
  <c r="AW9" i="24"/>
  <c r="AV9" i="24"/>
  <c r="AW8" i="24"/>
  <c r="AV8" i="24"/>
  <c r="AW7" i="24"/>
  <c r="AV7" i="24"/>
  <c r="AW6" i="24"/>
  <c r="AV6" i="24"/>
  <c r="AV5" i="24"/>
  <c r="AS32" i="24"/>
  <c r="AV4" i="24"/>
  <c r="AX25" i="24" l="1"/>
  <c r="AX21" i="24"/>
  <c r="AX19" i="24"/>
  <c r="AX17" i="24"/>
  <c r="AX29" i="24"/>
  <c r="AX27" i="24"/>
  <c r="AX23" i="24"/>
  <c r="AX15" i="24"/>
  <c r="AX9" i="24"/>
  <c r="AX13" i="24"/>
  <c r="BK27" i="25"/>
  <c r="BK23" i="25"/>
  <c r="BK19" i="25"/>
  <c r="BK17" i="25"/>
  <c r="BK18" i="25"/>
  <c r="BK22" i="25"/>
  <c r="BK26" i="25"/>
  <c r="BK29" i="25"/>
  <c r="BK15" i="25"/>
  <c r="BK14" i="25"/>
  <c r="BK13" i="25"/>
  <c r="BK12" i="25"/>
  <c r="BK11" i="25"/>
  <c r="BK10" i="25"/>
  <c r="BK9" i="25"/>
  <c r="BK8" i="25"/>
  <c r="BK7" i="25"/>
  <c r="BK5" i="25"/>
  <c r="AX6" i="24"/>
  <c r="AX8" i="24"/>
  <c r="AX10" i="24"/>
  <c r="AX12" i="24"/>
  <c r="AX16" i="24"/>
  <c r="AX18" i="24"/>
  <c r="AX20" i="24"/>
  <c r="AX22" i="24"/>
  <c r="AX11" i="24"/>
  <c r="AX7" i="24"/>
  <c r="AW4" i="24"/>
  <c r="BF32" i="25"/>
  <c r="BK24" i="25"/>
  <c r="BK21" i="25"/>
  <c r="BK16" i="25"/>
  <c r="BK28" i="25"/>
  <c r="BK25" i="25"/>
  <c r="BK20" i="25"/>
  <c r="BK6" i="25"/>
  <c r="AV14" i="24"/>
  <c r="AV33" i="24" s="1"/>
  <c r="AV34" i="24" s="1"/>
  <c r="AV35" i="24" s="1"/>
  <c r="AV36" i="24" s="1"/>
  <c r="AV37" i="24" s="1"/>
  <c r="AR32" i="24"/>
  <c r="BI4" i="25"/>
  <c r="BI33" i="25" s="1"/>
  <c r="BI34" i="25" s="1"/>
  <c r="BI35" i="25" s="1"/>
  <c r="BI36" i="25" s="1"/>
  <c r="BI37" i="25" s="1"/>
  <c r="BI38" i="25" s="1"/>
  <c r="BI39" i="25" s="1"/>
  <c r="BJ4" i="25"/>
  <c r="BJ33" i="25" s="1"/>
  <c r="AS38" i="24"/>
  <c r="AX26" i="24"/>
  <c r="AW5" i="24"/>
  <c r="AX5" i="24" s="1"/>
  <c r="AX24" i="24"/>
  <c r="AX28" i="24"/>
  <c r="AX30" i="24"/>
  <c r="AU38" i="24"/>
  <c r="AT38" i="24"/>
  <c r="I65" i="23"/>
  <c r="B65" i="23"/>
  <c r="B32" i="23"/>
  <c r="AW33" i="24" l="1"/>
  <c r="AW34" i="24" s="1"/>
  <c r="AW35" i="24" s="1"/>
  <c r="AW36" i="24" s="1"/>
  <c r="AW37" i="24" s="1"/>
  <c r="BJ34" i="25"/>
  <c r="BJ35" i="25" s="1"/>
  <c r="BJ36" i="25" s="1"/>
  <c r="BJ37" i="25" s="1"/>
  <c r="BJ38" i="25" s="1"/>
  <c r="AU39" i="24"/>
  <c r="AW32" i="24"/>
  <c r="AX4" i="24"/>
  <c r="AX14" i="24"/>
  <c r="AV32" i="24"/>
  <c r="BJ32" i="25"/>
  <c r="BI32" i="25"/>
  <c r="BK4" i="25"/>
  <c r="BK33" i="25" s="1"/>
  <c r="BK34" i="25" s="1"/>
  <c r="BK35" i="25" s="1"/>
  <c r="BK36" i="25" s="1"/>
  <c r="BK37" i="25" s="1"/>
  <c r="BK38" i="25" s="1"/>
  <c r="BK39" i="25" s="1"/>
  <c r="C39" i="25"/>
  <c r="AF39" i="24"/>
  <c r="AE39" i="24"/>
  <c r="K39" i="24"/>
  <c r="V39" i="24"/>
  <c r="AB39" i="24"/>
  <c r="AA39" i="24"/>
  <c r="C39" i="24"/>
  <c r="N39" i="24"/>
  <c r="P39" i="24"/>
  <c r="AQ39" i="24"/>
  <c r="S39" i="24"/>
  <c r="AP39" i="24"/>
  <c r="J39" i="24"/>
  <c r="L39" i="24"/>
  <c r="AI39" i="24"/>
  <c r="O39" i="24"/>
  <c r="AD39" i="24"/>
  <c r="F39" i="24"/>
  <c r="AV38" i="24"/>
  <c r="Z39" i="24"/>
  <c r="AO39" i="24"/>
  <c r="AG39" i="24"/>
  <c r="Y39" i="24"/>
  <c r="Q39" i="24"/>
  <c r="I39" i="24"/>
  <c r="AS39" i="24"/>
  <c r="AJ39" i="24"/>
  <c r="T39" i="24"/>
  <c r="D39" i="24"/>
  <c r="AM39" i="24"/>
  <c r="W39" i="24"/>
  <c r="G39" i="24"/>
  <c r="AH39" i="24"/>
  <c r="R39" i="24"/>
  <c r="AT39" i="24"/>
  <c r="AK39" i="24"/>
  <c r="AC39" i="24"/>
  <c r="U39" i="24"/>
  <c r="M39" i="24"/>
  <c r="E39" i="24"/>
  <c r="AN39" i="24"/>
  <c r="X39" i="24"/>
  <c r="H39" i="24"/>
  <c r="AL39" i="24"/>
  <c r="AX33" i="24" l="1"/>
  <c r="AX34" i="24" s="1"/>
  <c r="AX35" i="24" s="1"/>
  <c r="AX36" i="24" s="1"/>
  <c r="AX37" i="24" s="1"/>
  <c r="AX38" i="24" s="1"/>
  <c r="BJ39" i="25"/>
  <c r="AX32" i="24"/>
  <c r="BK32" i="25"/>
  <c r="AR39" i="24"/>
  <c r="AW38" i="24"/>
  <c r="AV39" i="24"/>
  <c r="AV10" i="22"/>
  <c r="AV15" i="22"/>
  <c r="AV19" i="22"/>
  <c r="AV23" i="22"/>
  <c r="AV27" i="22"/>
  <c r="E32" i="22"/>
  <c r="D32" i="22"/>
  <c r="AU32" i="22"/>
  <c r="AT32" i="22"/>
  <c r="AQ32" i="22"/>
  <c r="AP32" i="22"/>
  <c r="AO32" i="22"/>
  <c r="AM32" i="22"/>
  <c r="AL32" i="22"/>
  <c r="AK32" i="22"/>
  <c r="AJ32" i="22"/>
  <c r="AI32" i="22"/>
  <c r="AG32" i="22"/>
  <c r="AF32" i="22"/>
  <c r="AE32" i="22"/>
  <c r="AD32" i="22"/>
  <c r="AC32" i="22"/>
  <c r="AB32" i="22"/>
  <c r="AA32" i="22"/>
  <c r="Y32" i="22"/>
  <c r="W32" i="22"/>
  <c r="V32" i="22"/>
  <c r="T32" i="22"/>
  <c r="Q32" i="22"/>
  <c r="O32" i="22"/>
  <c r="N32" i="22"/>
  <c r="M32" i="22"/>
  <c r="L32" i="22"/>
  <c r="K32" i="22"/>
  <c r="J32" i="22"/>
  <c r="I32" i="22"/>
  <c r="H32" i="22"/>
  <c r="C32" i="22"/>
  <c r="AW30" i="22"/>
  <c r="AV30" i="22"/>
  <c r="AW29" i="22"/>
  <c r="AV29" i="22"/>
  <c r="AW28" i="22"/>
  <c r="AV28" i="22"/>
  <c r="AW27" i="22"/>
  <c r="AW26" i="22"/>
  <c r="AV26" i="22"/>
  <c r="AW25" i="22"/>
  <c r="AV25" i="22"/>
  <c r="AW24" i="22"/>
  <c r="AV24" i="22"/>
  <c r="AW23" i="22"/>
  <c r="AW22" i="22"/>
  <c r="AV22" i="22"/>
  <c r="AW21" i="22"/>
  <c r="AV21" i="22"/>
  <c r="AW20" i="22"/>
  <c r="AV20" i="22"/>
  <c r="AW19" i="22"/>
  <c r="AW18" i="22"/>
  <c r="AV18" i="22"/>
  <c r="AV17" i="22"/>
  <c r="AW16" i="22"/>
  <c r="AV16" i="22"/>
  <c r="AW15" i="22"/>
  <c r="AW14" i="22"/>
  <c r="AV14" i="22"/>
  <c r="AW13" i="22"/>
  <c r="AV13" i="22"/>
  <c r="AW12" i="22"/>
  <c r="AV12" i="22"/>
  <c r="AW11" i="22"/>
  <c r="AV11" i="22"/>
  <c r="AW10" i="22"/>
  <c r="AW9" i="22"/>
  <c r="AV9" i="22"/>
  <c r="AW8" i="22"/>
  <c r="AW7" i="22"/>
  <c r="AV7" i="22"/>
  <c r="AW6" i="22"/>
  <c r="AW5" i="22"/>
  <c r="AV5" i="2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" i="12"/>
  <c r="J32" i="18"/>
  <c r="I32" i="18"/>
  <c r="H32" i="18"/>
  <c r="G32" i="18"/>
  <c r="F32" i="18"/>
  <c r="E32" i="18"/>
  <c r="D32" i="18"/>
  <c r="C32" i="18"/>
  <c r="AW17" i="22" l="1"/>
  <c r="AX17" i="22" s="1"/>
  <c r="AS33" i="22"/>
  <c r="AS34" i="22" s="1"/>
  <c r="AS35" i="22" s="1"/>
  <c r="AS36" i="22" s="1"/>
  <c r="AS37" i="22" s="1"/>
  <c r="AS38" i="22" s="1"/>
  <c r="AV8" i="22"/>
  <c r="AX8" i="22" s="1"/>
  <c r="AR33" i="22"/>
  <c r="AR34" i="22" s="1"/>
  <c r="AR35" i="22" s="1"/>
  <c r="AR36" i="22" s="1"/>
  <c r="AR37" i="22" s="1"/>
  <c r="AR38" i="22" s="1"/>
  <c r="AV6" i="22"/>
  <c r="AX6" i="22" s="1"/>
  <c r="F32" i="22"/>
  <c r="AX25" i="22"/>
  <c r="AX5" i="22"/>
  <c r="AX12" i="22"/>
  <c r="AX29" i="22"/>
  <c r="AX19" i="22"/>
  <c r="AX9" i="22"/>
  <c r="AX26" i="22"/>
  <c r="AX15" i="22"/>
  <c r="AX21" i="22"/>
  <c r="AX16" i="22"/>
  <c r="AX30" i="22"/>
  <c r="AX14" i="22"/>
  <c r="AX18" i="22"/>
  <c r="AX22" i="22"/>
  <c r="AX10" i="22"/>
  <c r="AX39" i="24"/>
  <c r="AW39" i="24"/>
  <c r="AX7" i="22"/>
  <c r="AX11" i="22"/>
  <c r="AX13" i="22"/>
  <c r="AS32" i="22"/>
  <c r="AX20" i="22"/>
  <c r="AX27" i="22"/>
  <c r="AX28" i="22"/>
  <c r="AV4" i="22"/>
  <c r="AX23" i="22"/>
  <c r="AX24" i="22"/>
  <c r="AW4" i="22"/>
  <c r="D39" i="18"/>
  <c r="F39" i="18"/>
  <c r="AW33" i="22" l="1"/>
  <c r="AW34" i="22" s="1"/>
  <c r="AW35" i="22" s="1"/>
  <c r="AW36" i="22" s="1"/>
  <c r="AW37" i="22" s="1"/>
  <c r="AW38" i="22" s="1"/>
  <c r="AV33" i="22"/>
  <c r="AV34" i="22" s="1"/>
  <c r="AV35" i="22" s="1"/>
  <c r="AV36" i="22" s="1"/>
  <c r="AV37" i="22" s="1"/>
  <c r="AV38" i="22" s="1"/>
  <c r="AR32" i="22"/>
  <c r="J39" i="18"/>
  <c r="I39" i="18"/>
  <c r="E39" i="18"/>
  <c r="O39" i="22"/>
  <c r="I39" i="22"/>
  <c r="Y39" i="22"/>
  <c r="T39" i="22"/>
  <c r="AE39" i="22"/>
  <c r="AL39" i="22"/>
  <c r="AP39" i="22"/>
  <c r="R39" i="22"/>
  <c r="AW32" i="22"/>
  <c r="X39" i="22"/>
  <c r="AB39" i="22"/>
  <c r="D39" i="22"/>
  <c r="AU39" i="22"/>
  <c r="AC39" i="22"/>
  <c r="M39" i="22"/>
  <c r="AI39" i="22"/>
  <c r="S39" i="22"/>
  <c r="C39" i="22"/>
  <c r="J39" i="22"/>
  <c r="V39" i="22"/>
  <c r="AO39" i="22"/>
  <c r="AV32" i="22"/>
  <c r="AX4" i="22"/>
  <c r="AX33" i="22" s="1"/>
  <c r="AX34" i="22" s="1"/>
  <c r="AX35" i="22" s="1"/>
  <c r="AX36" i="22" s="1"/>
  <c r="AX37" i="22" s="1"/>
  <c r="AX38" i="22" s="1"/>
  <c r="AJ39" i="22"/>
  <c r="P39" i="22"/>
  <c r="AK39" i="22"/>
  <c r="U39" i="22"/>
  <c r="E39" i="22"/>
  <c r="H39" i="22"/>
  <c r="AQ39" i="22"/>
  <c r="AA39" i="22"/>
  <c r="K39" i="22"/>
  <c r="AN39" i="22"/>
  <c r="AT39" i="22"/>
  <c r="AH39" i="22"/>
  <c r="N39" i="22"/>
  <c r="AF39" i="22"/>
  <c r="L39" i="22"/>
  <c r="AG39" i="22"/>
  <c r="Q39" i="22"/>
  <c r="AM39" i="22"/>
  <c r="W39" i="22"/>
  <c r="G39" i="22"/>
  <c r="Z39" i="22"/>
  <c r="AD39" i="22"/>
  <c r="F39" i="22"/>
  <c r="C39" i="18"/>
  <c r="H39" i="18" l="1"/>
  <c r="G39" i="18"/>
  <c r="AR39" i="22"/>
  <c r="AS39" i="22"/>
  <c r="AX32" i="22"/>
  <c r="AW39" i="22" l="1"/>
  <c r="AV39" i="22"/>
  <c r="AX39" i="22" l="1"/>
  <c r="BH4" i="18" l="1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BI29" i="18"/>
  <c r="BH29" i="18"/>
  <c r="BI28" i="18"/>
  <c r="BH28" i="18"/>
  <c r="BI27" i="18"/>
  <c r="BH27" i="18"/>
  <c r="BI26" i="18"/>
  <c r="BH26" i="18"/>
  <c r="BI25" i="18"/>
  <c r="BH25" i="18"/>
  <c r="BI24" i="18"/>
  <c r="BH24" i="18"/>
  <c r="BI23" i="18"/>
  <c r="BH23" i="18"/>
  <c r="BI22" i="18"/>
  <c r="BH22" i="18"/>
  <c r="BI21" i="18"/>
  <c r="BH21" i="18"/>
  <c r="BI20" i="18"/>
  <c r="BH20" i="18"/>
  <c r="BI19" i="18"/>
  <c r="BH19" i="18"/>
  <c r="BI18" i="18"/>
  <c r="BH18" i="18"/>
  <c r="BI17" i="18"/>
  <c r="BH17" i="18"/>
  <c r="BI16" i="18"/>
  <c r="BH16" i="18"/>
  <c r="BI15" i="18"/>
  <c r="BH15" i="18"/>
  <c r="BI14" i="18"/>
  <c r="BH14" i="18"/>
  <c r="BI13" i="18"/>
  <c r="BH13" i="18"/>
  <c r="BI12" i="18"/>
  <c r="BH12" i="18"/>
  <c r="BI11" i="18"/>
  <c r="BH11" i="18"/>
  <c r="BI10" i="18"/>
  <c r="BH10" i="18"/>
  <c r="BI9" i="18"/>
  <c r="BH9" i="18"/>
  <c r="BI8" i="18"/>
  <c r="BH8" i="18"/>
  <c r="BI7" i="18"/>
  <c r="BH7" i="18"/>
  <c r="BI6" i="18"/>
  <c r="BH6" i="18"/>
  <c r="BI5" i="18"/>
  <c r="BH5" i="18"/>
  <c r="BI4" i="18"/>
  <c r="BI33" i="18" l="1"/>
  <c r="BI34" i="18" s="1"/>
  <c r="BI35" i="18" s="1"/>
  <c r="BI36" i="18" s="1"/>
  <c r="BI37" i="18" s="1"/>
  <c r="BI38" i="18" s="1"/>
  <c r="BI32" i="18"/>
  <c r="BH32" i="18"/>
  <c r="BH33" i="18"/>
  <c r="BH34" i="18" s="1"/>
  <c r="BH35" i="18" s="1"/>
  <c r="BH36" i="18" s="1"/>
  <c r="BH37" i="18" s="1"/>
  <c r="BH38" i="18" s="1"/>
  <c r="BJ23" i="18"/>
  <c r="BJ19" i="18"/>
  <c r="BJ21" i="18"/>
  <c r="BJ25" i="18"/>
  <c r="BJ7" i="18"/>
  <c r="BJ11" i="18"/>
  <c r="BJ13" i="18"/>
  <c r="BJ17" i="18"/>
  <c r="BJ24" i="18"/>
  <c r="BJ27" i="18"/>
  <c r="BJ29" i="18"/>
  <c r="BJ8" i="18"/>
  <c r="BJ12" i="18"/>
  <c r="BJ14" i="18"/>
  <c r="BJ4" i="18"/>
  <c r="BJ32" i="18" s="1"/>
  <c r="BJ6" i="18"/>
  <c r="BJ10" i="18"/>
  <c r="BJ16" i="18"/>
  <c r="BJ5" i="18"/>
  <c r="BJ9" i="18"/>
  <c r="BJ15" i="18"/>
  <c r="BJ28" i="18"/>
  <c r="BJ20" i="18"/>
  <c r="BJ26" i="18"/>
  <c r="BJ18" i="18"/>
  <c r="BJ22" i="18"/>
  <c r="V39" i="18"/>
  <c r="Z39" i="18"/>
  <c r="AD39" i="18"/>
  <c r="AH39" i="18"/>
  <c r="AL39" i="18"/>
  <c r="AP39" i="18"/>
  <c r="AT39" i="18"/>
  <c r="N39" i="18"/>
  <c r="I33" i="10"/>
  <c r="I32" i="10"/>
  <c r="I31" i="10"/>
  <c r="BJ33" i="18" l="1"/>
  <c r="BJ34" i="18" s="1"/>
  <c r="BJ35" i="18" s="1"/>
  <c r="BJ36" i="18" s="1"/>
  <c r="BJ37" i="18" s="1"/>
  <c r="BJ38" i="18" s="1"/>
  <c r="R39" i="18"/>
  <c r="BI39" i="18"/>
  <c r="BH39" i="18"/>
  <c r="S39" i="18"/>
  <c r="U39" i="18"/>
  <c r="AM39" i="18"/>
  <c r="AK39" i="18"/>
  <c r="AC39" i="18"/>
  <c r="AB39" i="18"/>
  <c r="AA39" i="18"/>
  <c r="Y39" i="18"/>
  <c r="X39" i="18"/>
  <c r="Q39" i="18"/>
  <c r="P39" i="18"/>
  <c r="O39" i="18"/>
  <c r="M39" i="18"/>
  <c r="L39" i="18"/>
  <c r="K39" i="18"/>
  <c r="AS39" i="18"/>
  <c r="AR39" i="18"/>
  <c r="AQ39" i="18"/>
  <c r="AO39" i="18"/>
  <c r="AN39" i="18"/>
  <c r="AI39" i="18"/>
  <c r="AJ39" i="18"/>
  <c r="AG39" i="18"/>
  <c r="AF39" i="18"/>
  <c r="W39" i="18"/>
  <c r="T39" i="18"/>
  <c r="AE39" i="18"/>
  <c r="BJ39" i="18" l="1"/>
  <c r="I4" i="15"/>
  <c r="I5" i="15"/>
  <c r="I6" i="15"/>
  <c r="I7" i="15"/>
  <c r="I8" i="15"/>
  <c r="I9" i="15"/>
  <c r="G7" i="15"/>
  <c r="G8" i="15"/>
  <c r="G9" i="15"/>
  <c r="I3" i="15"/>
  <c r="E4" i="15"/>
  <c r="E5" i="15"/>
  <c r="E6" i="15"/>
  <c r="E7" i="15"/>
  <c r="E8" i="15"/>
  <c r="E9" i="15"/>
  <c r="E3" i="15"/>
  <c r="C33" i="8" l="1"/>
  <c r="C22" i="8"/>
  <c r="C55" i="8"/>
  <c r="C40" i="8"/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" i="11"/>
  <c r="C87" i="8" l="1"/>
  <c r="C86" i="8"/>
  <c r="C85" i="8"/>
  <c r="C84" i="8"/>
  <c r="C83" i="8"/>
  <c r="C82" i="8"/>
  <c r="C81" i="8"/>
  <c r="C80" i="8"/>
  <c r="C79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0" i="8"/>
  <c r="C59" i="8"/>
  <c r="C58" i="8"/>
  <c r="C57" i="8"/>
  <c r="C56" i="8"/>
  <c r="C54" i="8"/>
  <c r="C53" i="8"/>
  <c r="C52" i="8"/>
  <c r="C51" i="8"/>
  <c r="C50" i="8"/>
  <c r="C49" i="8"/>
  <c r="C24" i="8"/>
  <c r="C25" i="8"/>
  <c r="C26" i="8"/>
  <c r="C27" i="8"/>
  <c r="C28" i="8"/>
  <c r="C29" i="8"/>
  <c r="C30" i="8"/>
  <c r="C31" i="8"/>
  <c r="C32" i="8"/>
  <c r="C37" i="8"/>
  <c r="C38" i="8"/>
  <c r="C42" i="8"/>
  <c r="C43" i="8"/>
  <c r="C45" i="8"/>
  <c r="C46" i="8"/>
  <c r="C47" i="8"/>
  <c r="C23" i="8"/>
  <c r="F36" i="5" l="1"/>
  <c r="E36" i="5"/>
  <c r="C36" i="5"/>
  <c r="B36" i="5"/>
  <c r="A36" i="5"/>
  <c r="F33" i="5"/>
  <c r="E33" i="5"/>
  <c r="D33" i="5"/>
  <c r="C33" i="5"/>
  <c r="B33" i="5"/>
  <c r="A33" i="5"/>
  <c r="F29" i="5"/>
  <c r="E29" i="5"/>
  <c r="D29" i="5"/>
  <c r="C29" i="5"/>
  <c r="B29" i="5"/>
  <c r="A29" i="5"/>
  <c r="F26" i="5"/>
  <c r="E26" i="5"/>
  <c r="D26" i="5"/>
  <c r="C26" i="5"/>
  <c r="B26" i="5"/>
  <c r="A26" i="5"/>
  <c r="F23" i="5"/>
  <c r="E23" i="5"/>
  <c r="D23" i="5"/>
  <c r="C23" i="5"/>
  <c r="B23" i="5"/>
  <c r="A23" i="5"/>
</calcChain>
</file>

<file path=xl/sharedStrings.xml><?xml version="1.0" encoding="utf-8"?>
<sst xmlns="http://schemas.openxmlformats.org/spreadsheetml/2006/main" count="2351" uniqueCount="1041">
  <si>
    <t>姓名</t>
  </si>
  <si>
    <t>學號</t>
  </si>
  <si>
    <t>身分證字號</t>
  </si>
  <si>
    <t>謝鎮宇</t>
  </si>
  <si>
    <t>F132827942</t>
  </si>
  <si>
    <t/>
  </si>
  <si>
    <t>彭承恩</t>
  </si>
  <si>
    <t>F132827111</t>
  </si>
  <si>
    <t>981115</t>
  </si>
  <si>
    <t>藍立昕</t>
  </si>
  <si>
    <t>林子翔</t>
  </si>
  <si>
    <t>F132827246</t>
  </si>
  <si>
    <t>981122</t>
  </si>
  <si>
    <t>楊博文</t>
  </si>
  <si>
    <t>F133010870</t>
  </si>
  <si>
    <t>990110</t>
  </si>
  <si>
    <t>李冠翰</t>
  </si>
  <si>
    <t>F133009948</t>
  </si>
  <si>
    <t>990131</t>
  </si>
  <si>
    <t>王俊崴</t>
  </si>
  <si>
    <t>F133010941</t>
  </si>
  <si>
    <t>990228</t>
  </si>
  <si>
    <t>洪振祐</t>
  </si>
  <si>
    <t>F133013040</t>
  </si>
  <si>
    <t>990313</t>
  </si>
  <si>
    <t>林琮翰</t>
  </si>
  <si>
    <t>F133013273</t>
  </si>
  <si>
    <t>990401</t>
  </si>
  <si>
    <t>曾泓喆</t>
  </si>
  <si>
    <t>曾泓捷</t>
  </si>
  <si>
    <t>林靖翔</t>
  </si>
  <si>
    <t>A132399653</t>
  </si>
  <si>
    <t>990528</t>
  </si>
  <si>
    <t>蘇鼎軒</t>
  </si>
  <si>
    <t>F133115165</t>
  </si>
  <si>
    <t>990824</t>
  </si>
  <si>
    <t>鍾承佑</t>
  </si>
  <si>
    <t>F133019202</t>
  </si>
  <si>
    <t>990829</t>
  </si>
  <si>
    <t>黃喬恩</t>
  </si>
  <si>
    <t>A231651076</t>
  </si>
  <si>
    <t>981018</t>
  </si>
  <si>
    <t>李宇婕</t>
  </si>
  <si>
    <t>F232313810</t>
  </si>
  <si>
    <t>981125</t>
  </si>
  <si>
    <t>沈湘芸</t>
  </si>
  <si>
    <t>F232315789</t>
  </si>
  <si>
    <t>981220</t>
  </si>
  <si>
    <t>周姿淳</t>
  </si>
  <si>
    <t>F232315949</t>
  </si>
  <si>
    <t>981230</t>
  </si>
  <si>
    <t>鍾孟洵</t>
  </si>
  <si>
    <t>A231585602</t>
  </si>
  <si>
    <t>990128</t>
  </si>
  <si>
    <t>李婕</t>
  </si>
  <si>
    <t>C221722882</t>
  </si>
  <si>
    <t>990206</t>
  </si>
  <si>
    <t>呂怡璇</t>
  </si>
  <si>
    <t>F232318093</t>
  </si>
  <si>
    <t>990227</t>
  </si>
  <si>
    <t>徐子媛</t>
  </si>
  <si>
    <t>F232318799</t>
  </si>
  <si>
    <t>990318</t>
  </si>
  <si>
    <t>楊御莛</t>
  </si>
  <si>
    <t>G222508906</t>
  </si>
  <si>
    <t>990411</t>
  </si>
  <si>
    <t>朱瀅愉</t>
  </si>
  <si>
    <t>K223398970</t>
  </si>
  <si>
    <t>990509</t>
  </si>
  <si>
    <t>劉宥彤</t>
  </si>
  <si>
    <t>F232321107</t>
  </si>
  <si>
    <t>990514</t>
  </si>
  <si>
    <t>許芸甄</t>
  </si>
  <si>
    <t>F232321358</t>
  </si>
  <si>
    <t>990517</t>
  </si>
  <si>
    <t>孫樂容</t>
  </si>
  <si>
    <t>F232323727</t>
  </si>
  <si>
    <t>990720</t>
  </si>
  <si>
    <t>許育瑄</t>
  </si>
  <si>
    <t>F232359218</t>
  </si>
  <si>
    <t>990822</t>
  </si>
  <si>
    <t>陳昫潔</t>
  </si>
  <si>
    <t>F232060930</t>
  </si>
  <si>
    <t>出生</t>
    <phoneticPr fontId="2" type="noConversion"/>
  </si>
  <si>
    <t>父親</t>
    <phoneticPr fontId="2" type="noConversion"/>
  </si>
  <si>
    <t>行動電話</t>
    <phoneticPr fontId="2" type="noConversion"/>
  </si>
  <si>
    <t>母親</t>
    <phoneticPr fontId="2" type="noConversion"/>
  </si>
  <si>
    <t>行動</t>
    <phoneticPr fontId="2" type="noConversion"/>
  </si>
  <si>
    <t>電話</t>
    <phoneticPr fontId="2" type="noConversion"/>
  </si>
  <si>
    <t>副理</t>
  </si>
  <si>
    <t>技師</t>
  </si>
  <si>
    <t>店長</t>
  </si>
  <si>
    <t>會計</t>
  </si>
  <si>
    <t>業務經理</t>
  </si>
  <si>
    <t>組長</t>
  </si>
  <si>
    <t>外務</t>
  </si>
  <si>
    <t>技工</t>
  </si>
  <si>
    <t>高級專員</t>
  </si>
  <si>
    <t>設計師</t>
  </si>
  <si>
    <t>父親工作</t>
    <phoneticPr fontId="2" type="noConversion"/>
  </si>
  <si>
    <t>母親工作</t>
    <phoneticPr fontId="2" type="noConversion"/>
  </si>
  <si>
    <t>職稱</t>
    <phoneticPr fontId="2" type="noConversion"/>
  </si>
  <si>
    <r>
      <rPr>
        <sz val="8"/>
        <rFont val="細明體"/>
        <family val="3"/>
        <charset val="136"/>
      </rPr>
      <t>座號</t>
    </r>
    <r>
      <rPr>
        <sz val="11"/>
        <rFont val="Arial"/>
        <family val="2"/>
      </rPr>
      <t/>
    </r>
    <phoneticPr fontId="2" type="noConversion"/>
  </si>
  <si>
    <t>星期一</t>
  </si>
  <si>
    <t>星期二</t>
  </si>
  <si>
    <t>星期三</t>
  </si>
  <si>
    <t>星期四</t>
  </si>
  <si>
    <t>星期五</t>
  </si>
  <si>
    <t>第一節</t>
  </si>
  <si>
    <t>數學</t>
  </si>
  <si>
    <t>自然</t>
  </si>
  <si>
    <t>第二節</t>
  </si>
  <si>
    <t>英語</t>
  </si>
  <si>
    <t>健康</t>
  </si>
  <si>
    <t>第三節</t>
  </si>
  <si>
    <t>社會</t>
  </si>
  <si>
    <t>第四節</t>
  </si>
  <si>
    <t>許瓏騰</t>
  </si>
  <si>
    <t>午休時間</t>
  </si>
  <si>
    <t>第五節</t>
  </si>
  <si>
    <t>音樂</t>
  </si>
  <si>
    <t>第六節</t>
  </si>
  <si>
    <t>第七節</t>
  </si>
  <si>
    <t>講桌</t>
    <phoneticPr fontId="2" type="noConversion"/>
  </si>
  <si>
    <t>謝鎮宇</t>
    <phoneticPr fontId="2" type="noConversion"/>
  </si>
  <si>
    <t>彭承恩</t>
    <phoneticPr fontId="2" type="noConversion"/>
  </si>
  <si>
    <t>林子翔</t>
    <phoneticPr fontId="2" type="noConversion"/>
  </si>
  <si>
    <t>楊博文</t>
    <phoneticPr fontId="2" type="noConversion"/>
  </si>
  <si>
    <t>李冠翰</t>
    <phoneticPr fontId="2" type="noConversion"/>
  </si>
  <si>
    <t>王俊崴</t>
    <phoneticPr fontId="2" type="noConversion"/>
  </si>
  <si>
    <t>洪振祐</t>
    <phoneticPr fontId="2" type="noConversion"/>
  </si>
  <si>
    <t>林琮翰</t>
    <phoneticPr fontId="2" type="noConversion"/>
  </si>
  <si>
    <t>林靖翔</t>
    <phoneticPr fontId="2" type="noConversion"/>
  </si>
  <si>
    <t>蘇鼎軒</t>
    <phoneticPr fontId="2" type="noConversion"/>
  </si>
  <si>
    <t>鍾承佑</t>
    <phoneticPr fontId="2" type="noConversion"/>
  </si>
  <si>
    <t>黃喬恩</t>
    <phoneticPr fontId="2" type="noConversion"/>
  </si>
  <si>
    <t>李宇婕</t>
    <phoneticPr fontId="2" type="noConversion"/>
  </si>
  <si>
    <t>沈湘芸</t>
    <phoneticPr fontId="2" type="noConversion"/>
  </si>
  <si>
    <t>周姿淳</t>
    <phoneticPr fontId="2" type="noConversion"/>
  </si>
  <si>
    <t>鍾孟洵</t>
    <phoneticPr fontId="2" type="noConversion"/>
  </si>
  <si>
    <t>呂怡璇</t>
    <phoneticPr fontId="2" type="noConversion"/>
  </si>
  <si>
    <t>徐子媛</t>
    <phoneticPr fontId="2" type="noConversion"/>
  </si>
  <si>
    <t>楊御莛</t>
    <phoneticPr fontId="2" type="noConversion"/>
  </si>
  <si>
    <t>朱瀅愉</t>
    <phoneticPr fontId="2" type="noConversion"/>
  </si>
  <si>
    <t>劉宥彤</t>
    <phoneticPr fontId="2" type="noConversion"/>
  </si>
  <si>
    <t>許芸甄</t>
    <phoneticPr fontId="2" type="noConversion"/>
  </si>
  <si>
    <t>孫樂容</t>
    <phoneticPr fontId="2" type="noConversion"/>
  </si>
  <si>
    <t>許育瑄</t>
    <phoneticPr fontId="2" type="noConversion"/>
  </si>
  <si>
    <t>陳昫潔</t>
    <phoneticPr fontId="2" type="noConversion"/>
  </si>
  <si>
    <t>第1組</t>
    <phoneticPr fontId="2" type="noConversion"/>
  </si>
  <si>
    <t>第2組</t>
  </si>
  <si>
    <t>第3組</t>
  </si>
  <si>
    <t>第5組</t>
    <phoneticPr fontId="2" type="noConversion"/>
  </si>
  <si>
    <t>第6組</t>
    <phoneticPr fontId="2" type="noConversion"/>
  </si>
  <si>
    <t>班長</t>
    <phoneticPr fontId="2" type="noConversion"/>
  </si>
  <si>
    <t>上下課口令、整隊、維持秩序、協助上課老師及同學。</t>
    <phoneticPr fontId="2" type="noConversion"/>
  </si>
  <si>
    <t>副班長</t>
    <phoneticPr fontId="2" type="noConversion"/>
  </si>
  <si>
    <t>代替班長、早上晨間檢查及記錄、更新出缺席及日期。</t>
    <phoneticPr fontId="2" type="noConversion"/>
  </si>
  <si>
    <t>風紀</t>
    <phoneticPr fontId="2" type="noConversion"/>
  </si>
  <si>
    <t>管理秩序、勸導同學、登記違規。</t>
    <phoneticPr fontId="2" type="noConversion"/>
  </si>
  <si>
    <t>學藝</t>
    <phoneticPr fontId="2" type="noConversion"/>
  </si>
  <si>
    <t>收發作業、協助登記缺交、協助催交補寫作業。</t>
    <phoneticPr fontId="2" type="noConversion"/>
  </si>
  <si>
    <t>衛生</t>
    <phoneticPr fontId="2" type="noConversion"/>
  </si>
  <si>
    <t>協助叮嚀打掃工作、協助有事缺席同學的工作。</t>
    <phoneticPr fontId="2" type="noConversion"/>
  </si>
  <si>
    <t>體育</t>
    <phoneticPr fontId="2" type="noConversion"/>
  </si>
  <si>
    <t>整隊、帶隊、做操、登記、借還體育器材、體育器材。</t>
    <phoneticPr fontId="2" type="noConversion"/>
  </si>
  <si>
    <t>服務</t>
    <phoneticPr fontId="2" type="noConversion"/>
  </si>
  <si>
    <t>路隊長</t>
    <phoneticPr fontId="2" type="noConversion"/>
  </si>
  <si>
    <t>保管路隊旗、整隊、帶隊、經過導護老師時舉班級路隊旗並喊口令。</t>
    <phoneticPr fontId="2" type="noConversion"/>
  </si>
  <si>
    <t>307      整潔工作</t>
    <phoneticPr fontId="2" type="noConversion"/>
  </si>
  <si>
    <t>內        掃</t>
    <phoneticPr fontId="2" type="noConversion"/>
  </si>
  <si>
    <t>黑板</t>
    <phoneticPr fontId="2" type="noConversion"/>
  </si>
  <si>
    <t>清潔板擦、擦黑板、講台拖地</t>
    <phoneticPr fontId="2" type="noConversion"/>
  </si>
  <si>
    <t>整理粉筆、擦板擦溝</t>
    <phoneticPr fontId="2" type="noConversion"/>
  </si>
  <si>
    <t>掃地、拖地、搬椅子</t>
    <phoneticPr fontId="2" type="noConversion"/>
  </si>
  <si>
    <t>走廊</t>
    <phoneticPr fontId="2" type="noConversion"/>
  </si>
  <si>
    <t>走廊掃地拖地</t>
    <phoneticPr fontId="2" type="noConversion"/>
  </si>
  <si>
    <t>窗戶</t>
    <phoneticPr fontId="2" type="noConversion"/>
  </si>
  <si>
    <t>高的用長竿、低的用抹布擦</t>
    <phoneticPr fontId="2" type="noConversion"/>
  </si>
  <si>
    <t>洗手台</t>
    <phoneticPr fontId="2" type="noConversion"/>
  </si>
  <si>
    <t>307     班級幹部</t>
    <phoneticPr fontId="2" type="noConversion"/>
  </si>
  <si>
    <t>掃地</t>
    <phoneticPr fontId="2" type="noConversion"/>
  </si>
  <si>
    <t>第1排掃地拖地</t>
    <phoneticPr fontId="2" type="noConversion"/>
  </si>
  <si>
    <t>第2排掃地拖地</t>
    <phoneticPr fontId="2" type="noConversion"/>
  </si>
  <si>
    <t>第3排掃地拖地</t>
    <phoneticPr fontId="2" type="noConversion"/>
  </si>
  <si>
    <t>周圍</t>
    <phoneticPr fontId="2" type="noConversion"/>
  </si>
  <si>
    <t>周圍、老師掃地拖地</t>
    <phoneticPr fontId="2" type="noConversion"/>
  </si>
  <si>
    <t>刷洗手台</t>
    <phoneticPr fontId="2" type="noConversion"/>
  </si>
  <si>
    <t>清理洗手台垃圾</t>
    <phoneticPr fontId="2" type="noConversion"/>
  </si>
  <si>
    <t>外         掃</t>
    <phoneticPr fontId="2" type="noConversion"/>
  </si>
  <si>
    <t>低年級教師休室</t>
    <phoneticPr fontId="2" type="noConversion"/>
  </si>
  <si>
    <t>掃地、拖地、倒垃圾、擦桌子</t>
    <phoneticPr fontId="2" type="noConversion"/>
  </si>
  <si>
    <t>中年級教師休室</t>
    <phoneticPr fontId="2" type="noConversion"/>
  </si>
  <si>
    <t>資源班</t>
    <phoneticPr fontId="2" type="noConversion"/>
  </si>
  <si>
    <t>第1組</t>
  </si>
  <si>
    <t>第5組</t>
  </si>
  <si>
    <t>第6組</t>
  </si>
  <si>
    <t>講          桌</t>
    <phoneticPr fontId="2" type="noConversion"/>
  </si>
  <si>
    <t>身高</t>
    <phoneticPr fontId="2" type="noConversion"/>
  </si>
  <si>
    <t>體重</t>
    <phoneticPr fontId="2" type="noConversion"/>
  </si>
  <si>
    <t>BMI</t>
    <phoneticPr fontId="2" type="noConversion"/>
  </si>
  <si>
    <t>老師</t>
    <phoneticPr fontId="2" type="noConversion"/>
  </si>
  <si>
    <t>倒垃圾</t>
    <phoneticPr fontId="2" type="noConversion"/>
  </si>
  <si>
    <t>奶奶</t>
    <phoneticPr fontId="2" type="noConversion"/>
  </si>
  <si>
    <t>三重區正義國民小學</t>
    <phoneticPr fontId="2" type="noConversion"/>
  </si>
  <si>
    <t>數習</t>
    <phoneticPr fontId="2" type="noConversion"/>
  </si>
  <si>
    <t>數卷</t>
    <phoneticPr fontId="2" type="noConversion"/>
  </si>
  <si>
    <t>平時</t>
    <phoneticPr fontId="2" type="noConversion"/>
  </si>
  <si>
    <t>定期</t>
    <phoneticPr fontId="2" type="noConversion"/>
  </si>
  <si>
    <t>總成績</t>
    <phoneticPr fontId="2" type="noConversion"/>
  </si>
  <si>
    <t>座號</t>
  </si>
  <si>
    <t>期中</t>
    <phoneticPr fontId="2" type="noConversion"/>
  </si>
  <si>
    <t>期末</t>
    <phoneticPr fontId="2" type="noConversion"/>
  </si>
  <si>
    <t>總平均</t>
    <phoneticPr fontId="2" type="noConversion"/>
  </si>
  <si>
    <t>平均</t>
    <phoneticPr fontId="2" type="noConversion"/>
  </si>
  <si>
    <t>&lt;60</t>
    <phoneticPr fontId="2" type="noConversion"/>
  </si>
  <si>
    <t>總共</t>
    <phoneticPr fontId="2" type="noConversion"/>
  </si>
  <si>
    <t>代表</t>
    <phoneticPr fontId="2" type="noConversion"/>
  </si>
  <si>
    <t>學生</t>
    <phoneticPr fontId="2" type="noConversion"/>
  </si>
  <si>
    <t>號</t>
    <phoneticPr fontId="2" type="noConversion"/>
  </si>
  <si>
    <t>家長</t>
    <phoneticPr fontId="2" type="noConversion"/>
  </si>
  <si>
    <t>電話：</t>
    <phoneticPr fontId="2" type="noConversion"/>
  </si>
  <si>
    <t>副代表</t>
    <phoneticPr fontId="2" type="noConversion"/>
  </si>
  <si>
    <t>出納</t>
    <phoneticPr fontId="2" type="noConversion"/>
  </si>
  <si>
    <t>庶務</t>
    <phoneticPr fontId="2" type="noConversion"/>
  </si>
  <si>
    <t>文書</t>
    <phoneticPr fontId="2" type="noConversion"/>
  </si>
  <si>
    <t>活動</t>
    <phoneticPr fontId="2" type="noConversion"/>
  </si>
  <si>
    <r>
      <t>◎ 所有資料以</t>
    </r>
    <r>
      <rPr>
        <b/>
        <u/>
        <sz val="22"/>
        <color rgb="FFFF0000"/>
        <rFont val="標楷體"/>
        <family val="4"/>
        <charset val="136"/>
      </rPr>
      <t>班親會互動</t>
    </r>
    <r>
      <rPr>
        <sz val="22"/>
        <color rgb="FFFF0000"/>
        <rFont val="標楷體"/>
        <family val="4"/>
        <charset val="136"/>
      </rPr>
      <t>為主，請</t>
    </r>
    <r>
      <rPr>
        <b/>
        <u/>
        <sz val="22"/>
        <color rgb="FFFF0000"/>
        <rFont val="標楷體"/>
        <family val="4"/>
        <charset val="136"/>
      </rPr>
      <t>注意個人隱私權利，請勿挪作他用</t>
    </r>
    <phoneticPr fontId="2" type="noConversion"/>
  </si>
  <si>
    <r>
      <rPr>
        <sz val="20"/>
        <color rgb="FFFF0000"/>
        <rFont val="標楷體"/>
        <family val="4"/>
        <charset val="136"/>
      </rPr>
      <t>家長委員至少一名</t>
    </r>
    <r>
      <rPr>
        <sz val="20"/>
        <color theme="1"/>
        <rFont val="標楷體"/>
        <family val="4"/>
        <charset val="136"/>
      </rPr>
      <t>組成班親會(以</t>
    </r>
    <r>
      <rPr>
        <sz val="20"/>
        <color rgb="FFFF0000"/>
        <rFont val="標楷體"/>
        <family val="4"/>
        <charset val="136"/>
      </rPr>
      <t>家長為主，老師配合</t>
    </r>
    <r>
      <rPr>
        <sz val="20"/>
        <color theme="1"/>
        <rFont val="標楷體"/>
        <family val="4"/>
        <charset val="136"/>
      </rPr>
      <t>)：</t>
    </r>
    <phoneticPr fontId="2" type="noConversion"/>
  </si>
  <si>
    <t>李婕</t>
    <phoneticPr fontId="2" type="noConversion"/>
  </si>
  <si>
    <t xml:space="preserve"> </t>
    <phoneticPr fontId="2" type="noConversion"/>
  </si>
  <si>
    <t>班費</t>
    <phoneticPr fontId="2" type="noConversion"/>
  </si>
  <si>
    <t>國習</t>
    <phoneticPr fontId="2" type="noConversion"/>
  </si>
  <si>
    <t>國卷</t>
    <phoneticPr fontId="2" type="noConversion"/>
  </si>
  <si>
    <t>國範</t>
    <phoneticPr fontId="2" type="noConversion"/>
  </si>
  <si>
    <t>造句</t>
    <phoneticPr fontId="2" type="noConversion"/>
  </si>
  <si>
    <t>支出</t>
    <phoneticPr fontId="2" type="noConversion"/>
  </si>
  <si>
    <t>社會</t>
    <phoneticPr fontId="2" type="noConversion"/>
  </si>
  <si>
    <t>班費支出</t>
    <phoneticPr fontId="2" type="noConversion"/>
  </si>
  <si>
    <t>班費結餘</t>
    <phoneticPr fontId="2" type="noConversion"/>
  </si>
  <si>
    <t>我是(       )號</t>
    <phoneticPr fontId="2" type="noConversion"/>
  </si>
  <si>
    <t>我選(       )號</t>
    <phoneticPr fontId="2" type="noConversion"/>
  </si>
  <si>
    <t>本次期中定期評量科目及範圍</t>
  </si>
  <si>
    <t>國語</t>
  </si>
  <si>
    <t>1~7課</t>
  </si>
  <si>
    <t>1~2課</t>
  </si>
  <si>
    <t>1~5課</t>
  </si>
  <si>
    <t>閩南語</t>
  </si>
  <si>
    <t>直笛吹奏(瑪莉有隻羊)</t>
  </si>
  <si>
    <t>敬請家長再提醒。感謝!</t>
  </si>
  <si>
    <t xml:space="preserve">  號       姓名:</t>
    <phoneticPr fontId="2" type="noConversion"/>
  </si>
  <si>
    <t>單元</t>
    <phoneticPr fontId="2" type="noConversion"/>
  </si>
  <si>
    <t>生字</t>
    <phoneticPr fontId="2" type="noConversion"/>
  </si>
  <si>
    <t>期中</t>
    <phoneticPr fontId="2" type="noConversion"/>
  </si>
  <si>
    <t>期末</t>
    <phoneticPr fontId="2" type="noConversion"/>
  </si>
  <si>
    <t>聯絡簿</t>
    <phoneticPr fontId="2" type="noConversion"/>
  </si>
  <si>
    <t>秩序</t>
    <phoneticPr fontId="2" type="noConversion"/>
  </si>
  <si>
    <t>整潔</t>
    <phoneticPr fontId="2" type="noConversion"/>
  </si>
  <si>
    <t>期中</t>
    <phoneticPr fontId="2" type="noConversion"/>
  </si>
  <si>
    <t>期末</t>
    <phoneticPr fontId="2" type="noConversion"/>
  </si>
  <si>
    <t xml:space="preserve">家長簽章 </t>
    <phoneticPr fontId="2" type="noConversion"/>
  </si>
  <si>
    <t>家長簽章</t>
    <phoneticPr fontId="2" type="noConversion"/>
  </si>
  <si>
    <t xml:space="preserve">家長簽章 </t>
    <phoneticPr fontId="2" type="noConversion"/>
  </si>
  <si>
    <t>彈   性  閱   讀</t>
    <phoneticPr fontId="2" type="noConversion"/>
  </si>
  <si>
    <t>專書</t>
    <phoneticPr fontId="2" type="noConversion"/>
  </si>
  <si>
    <t>學習單</t>
    <phoneticPr fontId="2" type="noConversion"/>
  </si>
  <si>
    <t>家長簽章</t>
    <phoneticPr fontId="2" type="noConversion"/>
  </si>
  <si>
    <t>單元</t>
    <phoneticPr fontId="2" type="noConversion"/>
  </si>
  <si>
    <t>數課</t>
    <phoneticPr fontId="2" type="noConversion"/>
  </si>
  <si>
    <t>數習</t>
    <phoneticPr fontId="2" type="noConversion"/>
  </si>
  <si>
    <t>平均</t>
    <phoneticPr fontId="2" type="noConversion"/>
  </si>
  <si>
    <t>家長簽章</t>
    <phoneticPr fontId="2" type="noConversion"/>
  </si>
  <si>
    <t>期中評量</t>
    <phoneticPr fontId="2" type="noConversion"/>
  </si>
  <si>
    <t>期末評量</t>
    <phoneticPr fontId="2" type="noConversion"/>
  </si>
  <si>
    <t>國語</t>
    <phoneticPr fontId="2" type="noConversion"/>
  </si>
  <si>
    <t>數學</t>
    <phoneticPr fontId="2" type="noConversion"/>
  </si>
  <si>
    <t>自然</t>
    <phoneticPr fontId="2" type="noConversion"/>
  </si>
  <si>
    <t>英語</t>
    <phoneticPr fontId="2" type="noConversion"/>
  </si>
  <si>
    <t>跳繩</t>
    <phoneticPr fontId="2" type="noConversion"/>
  </si>
  <si>
    <t>數隨堂</t>
    <phoneticPr fontId="2" type="noConversion"/>
  </si>
  <si>
    <t>數八格</t>
    <phoneticPr fontId="2" type="noConversion"/>
  </si>
  <si>
    <t>數小考</t>
    <phoneticPr fontId="2" type="noConversion"/>
  </si>
  <si>
    <t>出席</t>
    <phoneticPr fontId="2" type="noConversion"/>
  </si>
  <si>
    <t>平時綜合表現</t>
    <phoneticPr fontId="2" type="noConversion"/>
  </si>
  <si>
    <t>潔牙漱口</t>
    <phoneticPr fontId="2" type="noConversion"/>
  </si>
  <si>
    <t>體育</t>
    <phoneticPr fontId="2" type="noConversion"/>
  </si>
  <si>
    <t>身高</t>
    <phoneticPr fontId="2" type="noConversion"/>
  </si>
  <si>
    <t>體重</t>
    <phoneticPr fontId="2" type="noConversion"/>
  </si>
  <si>
    <t>60公尺</t>
    <phoneticPr fontId="2" type="noConversion"/>
  </si>
  <si>
    <t>BMI</t>
    <phoneticPr fontId="2" type="noConversion"/>
  </si>
  <si>
    <t>結果</t>
    <phoneticPr fontId="2" type="noConversion"/>
  </si>
  <si>
    <t>打擊</t>
    <phoneticPr fontId="2" type="noConversion"/>
  </si>
  <si>
    <t>傳接</t>
    <phoneticPr fontId="2" type="noConversion"/>
  </si>
  <si>
    <t>跑壘</t>
    <phoneticPr fontId="2" type="noConversion"/>
  </si>
  <si>
    <t>800公尺</t>
    <phoneticPr fontId="2" type="noConversion"/>
  </si>
  <si>
    <t>立定跳遠</t>
    <phoneticPr fontId="2" type="noConversion"/>
  </si>
  <si>
    <t>坐姿體前彎</t>
    <phoneticPr fontId="2" type="noConversion"/>
  </si>
  <si>
    <t>1~3課</t>
    <phoneticPr fontId="2" type="noConversion"/>
  </si>
  <si>
    <t>本周及下周</t>
    <phoneticPr fontId="2" type="noConversion"/>
  </si>
  <si>
    <t>(已經考到15號)</t>
    <phoneticPr fontId="2" type="noConversion"/>
  </si>
  <si>
    <t>1~42頁</t>
    <phoneticPr fontId="2" type="noConversion"/>
  </si>
  <si>
    <t>10月</t>
    <phoneticPr fontId="2" type="noConversion"/>
  </si>
  <si>
    <t>生字</t>
    <phoneticPr fontId="2" type="noConversion"/>
  </si>
  <si>
    <t>60M</t>
    <phoneticPr fontId="2" type="noConversion"/>
  </si>
  <si>
    <t>平均</t>
    <phoneticPr fontId="2" type="noConversion"/>
  </si>
  <si>
    <t>9月</t>
  </si>
  <si>
    <t>蠟筆</t>
    <phoneticPr fontId="2" type="noConversion"/>
  </si>
  <si>
    <t>刮畫</t>
    <phoneticPr fontId="2" type="noConversion"/>
  </si>
  <si>
    <t>科任袋</t>
    <phoneticPr fontId="2" type="noConversion"/>
  </si>
  <si>
    <t>平均</t>
    <phoneticPr fontId="2" type="noConversion"/>
  </si>
  <si>
    <t>選項1</t>
    <phoneticPr fontId="2" type="noConversion"/>
  </si>
  <si>
    <t>選項2</t>
  </si>
  <si>
    <t>座號</t>
    <phoneticPr fontId="2" type="noConversion"/>
  </si>
  <si>
    <t>303    班級幹部選舉</t>
    <phoneticPr fontId="2" type="noConversion"/>
  </si>
  <si>
    <t>候選人</t>
    <phoneticPr fontId="2" type="noConversion"/>
  </si>
  <si>
    <t>票數</t>
    <phoneticPr fontId="2" type="noConversion"/>
  </si>
  <si>
    <t>總共</t>
    <phoneticPr fontId="2" type="noConversion"/>
  </si>
  <si>
    <t>當選人</t>
    <phoneticPr fontId="2" type="noConversion"/>
  </si>
  <si>
    <t>總共</t>
    <phoneticPr fontId="2" type="noConversion"/>
  </si>
  <si>
    <t>飲料</t>
    <phoneticPr fontId="2" type="noConversion"/>
  </si>
  <si>
    <t>芥茉香雞堡</t>
    <phoneticPr fontId="2" type="noConversion"/>
  </si>
  <si>
    <t>辣味香雞堡</t>
    <phoneticPr fontId="2" type="noConversion"/>
  </si>
  <si>
    <t>麥克雞塊</t>
    <phoneticPr fontId="2" type="noConversion"/>
  </si>
  <si>
    <t>BBQ嫩雞翅</t>
    <phoneticPr fontId="2" type="noConversion"/>
  </si>
  <si>
    <t>勁辣香雞翅</t>
    <phoneticPr fontId="2" type="noConversion"/>
  </si>
  <si>
    <t>雪碧</t>
    <phoneticPr fontId="2" type="noConversion"/>
  </si>
  <si>
    <t>可樂</t>
    <phoneticPr fontId="2" type="noConversion"/>
  </si>
  <si>
    <t>綠茶</t>
    <phoneticPr fontId="2" type="noConversion"/>
  </si>
  <si>
    <t>紅茶</t>
    <phoneticPr fontId="2" type="noConversion"/>
  </si>
  <si>
    <t>玉米濃湯</t>
    <phoneticPr fontId="2" type="noConversion"/>
  </si>
  <si>
    <t>鬆餅</t>
    <phoneticPr fontId="2" type="noConversion"/>
  </si>
  <si>
    <t>主    餐</t>
    <phoneticPr fontId="2" type="noConversion"/>
  </si>
  <si>
    <t>薯條</t>
    <phoneticPr fontId="2" type="noConversion"/>
  </si>
  <si>
    <t>健體</t>
  </si>
  <si>
    <r>
      <rPr>
        <sz val="12"/>
        <color theme="1"/>
        <rFont val="新細明體"/>
        <family val="1"/>
        <charset val="136"/>
      </rPr>
      <t>胡永輝</t>
    </r>
    <r>
      <rPr>
        <sz val="12"/>
        <color theme="1"/>
        <rFont val="Times New Roman"/>
        <family val="1"/>
      </rPr>
      <t/>
    </r>
    <phoneticPr fontId="2" type="noConversion"/>
  </si>
  <si>
    <r>
      <t>3</t>
    </r>
    <r>
      <rPr>
        <sz val="12"/>
        <color theme="1"/>
        <rFont val="細明體"/>
        <family val="3"/>
        <charset val="136"/>
      </rPr>
      <t>上</t>
    </r>
  </si>
  <si>
    <t>4上</t>
    <phoneticPr fontId="2" type="noConversion"/>
  </si>
  <si>
    <t>孫莉婷</t>
  </si>
  <si>
    <t>5上</t>
  </si>
  <si>
    <t>5上</t>
    <phoneticPr fontId="2" type="noConversion"/>
  </si>
  <si>
    <t>陳慧美</t>
  </si>
  <si>
    <t xml:space="preserve"> 劉興忠</t>
    <phoneticPr fontId="2" type="noConversion"/>
  </si>
  <si>
    <t>6上</t>
  </si>
  <si>
    <t>吳忠霖</t>
    <phoneticPr fontId="2" type="noConversion"/>
  </si>
  <si>
    <t>呂尚書</t>
    <phoneticPr fontId="2" type="noConversion"/>
  </si>
  <si>
    <t>王芝嫻</t>
    <phoneticPr fontId="2" type="noConversion"/>
  </si>
  <si>
    <t>6下</t>
  </si>
  <si>
    <t>張欣怡</t>
    <phoneticPr fontId="2" type="noConversion"/>
  </si>
  <si>
    <t>施又榮</t>
    <phoneticPr fontId="2" type="noConversion"/>
  </si>
  <si>
    <t>3下</t>
  </si>
  <si>
    <t>林力偉</t>
    <phoneticPr fontId="2" type="noConversion"/>
  </si>
  <si>
    <t>4下</t>
  </si>
  <si>
    <t>1. 校訂課程健體領域課程計畫撰寫分配( 1/7前完成 )</t>
    <phoneticPr fontId="2" type="noConversion"/>
  </si>
  <si>
    <t>2. 請參考念慈老師的格式完成</t>
    <phoneticPr fontId="2" type="noConversion"/>
  </si>
  <si>
    <t>3. 若完成請傳給我 dhpsyohu@gmail.com</t>
    <phoneticPr fontId="2" type="noConversion"/>
  </si>
  <si>
    <t>色相還</t>
    <phoneticPr fontId="2" type="noConversion"/>
  </si>
  <si>
    <t>王冠</t>
    <phoneticPr fontId="2" type="noConversion"/>
  </si>
  <si>
    <t>紙書架</t>
    <phoneticPr fontId="2" type="noConversion"/>
  </si>
  <si>
    <t>提袋</t>
    <phoneticPr fontId="2" type="noConversion"/>
  </si>
  <si>
    <t>平均</t>
    <phoneticPr fontId="2" type="noConversion"/>
  </si>
  <si>
    <t>跳繩</t>
    <phoneticPr fontId="2" type="noConversion"/>
  </si>
  <si>
    <t>打掃</t>
    <phoneticPr fontId="2" type="noConversion"/>
  </si>
  <si>
    <t>出席</t>
    <phoneticPr fontId="2" type="noConversion"/>
  </si>
  <si>
    <t>潔牙</t>
    <phoneticPr fontId="2" type="noConversion"/>
  </si>
  <si>
    <t>漱口</t>
    <phoneticPr fontId="2" type="noConversion"/>
  </si>
  <si>
    <t>跳繩</t>
    <phoneticPr fontId="2" type="noConversion"/>
  </si>
  <si>
    <t>聯絡簿</t>
    <phoneticPr fontId="2" type="noConversion"/>
  </si>
  <si>
    <t>秩序</t>
    <phoneticPr fontId="2" type="noConversion"/>
  </si>
  <si>
    <t>平均</t>
    <phoneticPr fontId="2" type="noConversion"/>
  </si>
  <si>
    <t>表現</t>
    <phoneticPr fontId="2" type="noConversion"/>
  </si>
  <si>
    <t>樂樂</t>
    <phoneticPr fontId="2" type="noConversion"/>
  </si>
  <si>
    <t>平均</t>
  </si>
  <si>
    <t>&lt;60</t>
  </si>
  <si>
    <t>總共</t>
  </si>
  <si>
    <t>2月</t>
  </si>
  <si>
    <t>3月</t>
    <phoneticPr fontId="2" type="noConversion"/>
  </si>
  <si>
    <t>1遲到</t>
    <phoneticPr fontId="2" type="noConversion"/>
  </si>
  <si>
    <t>3事假</t>
    <phoneticPr fontId="2" type="noConversion"/>
  </si>
  <si>
    <t>教師日誌</t>
    <phoneticPr fontId="2" type="noConversion"/>
  </si>
  <si>
    <t>1輔導紀錄</t>
    <phoneticPr fontId="2" type="noConversion"/>
  </si>
  <si>
    <t>2得獎紀錄</t>
    <phoneticPr fontId="2" type="noConversion"/>
  </si>
  <si>
    <t>日常工作未完成</t>
    <phoneticPr fontId="2" type="noConversion"/>
  </si>
  <si>
    <t>總分</t>
    <phoneticPr fontId="2" type="noConversion"/>
  </si>
  <si>
    <t>排名</t>
    <phoneticPr fontId="2" type="noConversion"/>
  </si>
  <si>
    <t>家長日</t>
    <phoneticPr fontId="2" type="noConversion"/>
  </si>
  <si>
    <t>5下</t>
    <phoneticPr fontId="2" type="noConversion"/>
  </si>
  <si>
    <t>天女散花</t>
  </si>
  <si>
    <r>
      <t>2</t>
    </r>
    <r>
      <rPr>
        <b/>
        <sz val="12"/>
        <color theme="1"/>
        <rFont val="新細明體"/>
        <family val="1"/>
        <charset val="136"/>
      </rPr>
      <t>節</t>
    </r>
  </si>
  <si>
    <r>
      <t>(</t>
    </r>
    <r>
      <rPr>
        <b/>
        <sz val="12"/>
        <color rgb="FFFF0000"/>
        <rFont val="新細明體"/>
        <family val="1"/>
        <charset val="136"/>
      </rPr>
      <t>綜合</t>
    </r>
    <r>
      <rPr>
        <b/>
        <sz val="12"/>
        <color theme="1"/>
        <rFont val="Calibri"/>
        <family val="2"/>
      </rPr>
      <t>)</t>
    </r>
  </si>
  <si>
    <t>火樹銀花</t>
  </si>
  <si>
    <t>落花有意水有情</t>
  </si>
  <si>
    <t>拋繡球花</t>
  </si>
  <si>
    <t>錦上添花</t>
  </si>
  <si>
    <r>
      <t>6</t>
    </r>
    <r>
      <rPr>
        <b/>
        <sz val="12"/>
        <color theme="1"/>
        <rFont val="新細明體"/>
        <family val="1"/>
        <charset val="136"/>
      </rPr>
      <t>節</t>
    </r>
  </si>
  <si>
    <r>
      <t>(</t>
    </r>
    <r>
      <rPr>
        <b/>
        <sz val="12"/>
        <color theme="1"/>
        <rFont val="新細明體"/>
        <family val="1"/>
        <charset val="136"/>
      </rPr>
      <t>綜合</t>
    </r>
    <r>
      <rPr>
        <b/>
        <sz val="12"/>
        <color theme="1"/>
        <rFont val="Calibri"/>
        <family val="2"/>
      </rPr>
      <t>)</t>
    </r>
  </si>
  <si>
    <t>迷你羽球</t>
  </si>
  <si>
    <r>
      <t>1</t>
    </r>
    <r>
      <rPr>
        <b/>
        <sz val="12"/>
        <color rgb="FFFF0000"/>
        <rFont val="新細明體"/>
        <family val="1"/>
        <charset val="136"/>
      </rPr>
      <t>節</t>
    </r>
  </si>
  <si>
    <r>
      <t>(</t>
    </r>
    <r>
      <rPr>
        <b/>
        <sz val="12"/>
        <color rgb="FFFF0000"/>
        <rFont val="新細明體"/>
        <family val="1"/>
        <charset val="136"/>
      </rPr>
      <t>自然</t>
    </r>
    <r>
      <rPr>
        <b/>
        <sz val="12"/>
        <color rgb="FFFF0000"/>
        <rFont val="Calibri"/>
        <family val="2"/>
      </rPr>
      <t>)</t>
    </r>
  </si>
  <si>
    <t>自動自發</t>
  </si>
  <si>
    <t>羽球比賽</t>
  </si>
  <si>
    <t>地雷炸彈</t>
  </si>
  <si>
    <t>巧固排球</t>
  </si>
  <si>
    <r>
      <t>(</t>
    </r>
    <r>
      <rPr>
        <b/>
        <sz val="12"/>
        <color rgb="FFFF0000"/>
        <rFont val="新細明體"/>
        <family val="1"/>
        <charset val="136"/>
      </rPr>
      <t>綜合</t>
    </r>
    <r>
      <rPr>
        <b/>
        <sz val="12"/>
        <color rgb="FFFF0000"/>
        <rFont val="Calibri"/>
        <family val="2"/>
      </rPr>
      <t>)</t>
    </r>
  </si>
  <si>
    <t>炸彈開花</t>
  </si>
  <si>
    <r>
      <t>5</t>
    </r>
    <r>
      <rPr>
        <b/>
        <sz val="12"/>
        <color theme="1"/>
        <rFont val="新細明體"/>
        <family val="1"/>
        <charset val="136"/>
      </rPr>
      <t>節</t>
    </r>
  </si>
  <si>
    <r>
      <t>(</t>
    </r>
    <r>
      <rPr>
        <b/>
        <sz val="12"/>
        <color rgb="FFFF0000"/>
        <rFont val="新細明體"/>
        <family val="1"/>
        <charset val="136"/>
      </rPr>
      <t>健體</t>
    </r>
    <r>
      <rPr>
        <b/>
        <sz val="12"/>
        <color theme="1"/>
        <rFont val="Calibri"/>
        <family val="2"/>
      </rPr>
      <t>)</t>
    </r>
  </si>
  <si>
    <t>散財童子</t>
  </si>
  <si>
    <r>
      <t>1</t>
    </r>
    <r>
      <rPr>
        <b/>
        <sz val="12"/>
        <color rgb="FFFF0000"/>
        <rFont val="新細明體"/>
        <family val="1"/>
        <charset val="136"/>
      </rPr>
      <t>節</t>
    </r>
    <r>
      <rPr>
        <b/>
        <sz val="12"/>
        <color rgb="FFFF0000"/>
        <rFont val="Calibri"/>
        <family val="2"/>
      </rPr>
      <t/>
    </r>
    <phoneticPr fontId="2" type="noConversion"/>
  </si>
  <si>
    <t>(綜合數學)</t>
  </si>
  <si>
    <r>
      <t>正義國小校訂課程活動主題</t>
    </r>
    <r>
      <rPr>
        <sz val="12"/>
        <color theme="1"/>
        <rFont val="Calibri"/>
        <family val="2"/>
      </rPr>
      <t>1080219-</t>
    </r>
    <r>
      <rPr>
        <sz val="12"/>
        <color theme="1"/>
        <rFont val="新細明體"/>
        <family val="1"/>
        <charset val="136"/>
      </rPr>
      <t>健體領域任務分配</t>
    </r>
    <phoneticPr fontId="2" type="noConversion"/>
  </si>
  <si>
    <r>
      <t>3</t>
    </r>
    <r>
      <rPr>
        <sz val="11"/>
        <rFont val="細明體"/>
        <family val="3"/>
        <charset val="136"/>
      </rPr>
      <t>月</t>
    </r>
    <phoneticPr fontId="2" type="noConversion"/>
  </si>
  <si>
    <t>作文</t>
    <phoneticPr fontId="2" type="noConversion"/>
  </si>
  <si>
    <t>9/21社會考卷</t>
    <phoneticPr fontId="2" type="noConversion"/>
  </si>
  <si>
    <t>9/21數學隨堂練習簿</t>
    <phoneticPr fontId="2" type="noConversion"/>
  </si>
  <si>
    <t>9/21國語課堂練習簿</t>
    <phoneticPr fontId="2" type="noConversion"/>
  </si>
  <si>
    <t>9/21自然作業簿</t>
    <phoneticPr fontId="2" type="noConversion"/>
  </si>
  <si>
    <t>2/23社會考卷</t>
    <phoneticPr fontId="2" type="noConversion"/>
  </si>
  <si>
    <t>2/23數學隨堂練習簿</t>
    <phoneticPr fontId="2" type="noConversion"/>
  </si>
  <si>
    <t>2/23國語課堂練習簿</t>
    <phoneticPr fontId="2" type="noConversion"/>
  </si>
  <si>
    <t>2/23自然作業簿</t>
    <phoneticPr fontId="2" type="noConversion"/>
  </si>
  <si>
    <t>風力車</t>
    <phoneticPr fontId="2" type="noConversion"/>
  </si>
  <si>
    <t>砂紙畫</t>
    <phoneticPr fontId="2" type="noConversion"/>
  </si>
  <si>
    <t>廉政</t>
    <phoneticPr fontId="2" type="noConversion"/>
  </si>
  <si>
    <t>陀螺</t>
    <phoneticPr fontId="2" type="noConversion"/>
  </si>
  <si>
    <t>303下中</t>
    <phoneticPr fontId="2" type="noConversion"/>
  </si>
  <si>
    <t>陀螺</t>
  </si>
  <si>
    <t>香包</t>
    <phoneticPr fontId="2" type="noConversion"/>
  </si>
  <si>
    <t>竹蜻蜓</t>
    <phoneticPr fontId="2" type="noConversion"/>
  </si>
  <si>
    <t>字形</t>
    <phoneticPr fontId="2" type="noConversion"/>
  </si>
  <si>
    <t>協助叮嚀打掃工作、協助有事缺席同學的工作。(內掃)</t>
    <phoneticPr fontId="2" type="noConversion"/>
  </si>
  <si>
    <t>小組長</t>
    <phoneticPr fontId="2" type="noConversion"/>
  </si>
  <si>
    <t>協助老師處理簿本及分發物品。(第1組)</t>
    <phoneticPr fontId="2" type="noConversion"/>
  </si>
  <si>
    <t>協助老師處理簿本及分發物品。(第2組)</t>
  </si>
  <si>
    <t>協助老師處理簿本及分發物品。(第3組)</t>
  </si>
  <si>
    <t>協助老師處理簿本及分發物品。(第4組)</t>
  </si>
  <si>
    <t>協助老師處理簿本及分發物品。(第5組)</t>
  </si>
  <si>
    <t>協助老師處理簿本及分發物品。(第6組)</t>
  </si>
  <si>
    <t>副衛生</t>
    <phoneticPr fontId="2" type="noConversion"/>
  </si>
  <si>
    <t>內掃區檢查並登記</t>
    <phoneticPr fontId="2" type="noConversion"/>
  </si>
  <si>
    <t>掃地+拖地+擦桌子+倒垃圾</t>
    <phoneticPr fontId="2" type="noConversion"/>
  </si>
  <si>
    <t>整理清潔、刷洗手台</t>
    <phoneticPr fontId="2" type="noConversion"/>
  </si>
  <si>
    <t>整隊並至外掃區檢查並登記+帶隊一起回來。</t>
    <phoneticPr fontId="2" type="noConversion"/>
  </si>
  <si>
    <t>整理資源回收桶並且倒垃圾</t>
    <phoneticPr fontId="2" type="noConversion"/>
  </si>
  <si>
    <t>8月</t>
  </si>
  <si>
    <t>缺席</t>
    <phoneticPr fontId="2" type="noConversion"/>
  </si>
  <si>
    <t>3/3 3上影印費</t>
    <phoneticPr fontId="2" type="noConversion"/>
  </si>
  <si>
    <t>7/3 3下影印費</t>
    <phoneticPr fontId="2" type="noConversion"/>
  </si>
  <si>
    <t>3年級結餘</t>
    <phoneticPr fontId="2" type="noConversion"/>
  </si>
  <si>
    <t>8/30 2位同學轉出</t>
    <phoneticPr fontId="2" type="noConversion"/>
  </si>
  <si>
    <t>8/30 社會考卷</t>
    <phoneticPr fontId="2" type="noConversion"/>
  </si>
  <si>
    <t>8/30 數學隨堂練習簿</t>
    <phoneticPr fontId="2" type="noConversion"/>
  </si>
  <si>
    <t>8/30 國語課堂練習簿</t>
    <phoneticPr fontId="2" type="noConversion"/>
  </si>
  <si>
    <t>8/30 自然作業簿</t>
    <phoneticPr fontId="2" type="noConversion"/>
  </si>
  <si>
    <t>4上</t>
    <phoneticPr fontId="2" type="noConversion"/>
  </si>
  <si>
    <t>(每人300)</t>
    <phoneticPr fontId="2" type="noConversion"/>
  </si>
  <si>
    <t>(每人300)</t>
    <phoneticPr fontId="2" type="noConversion"/>
  </si>
  <si>
    <t>班親會前預計結餘</t>
    <phoneticPr fontId="2" type="noConversion"/>
  </si>
  <si>
    <t>跳遠</t>
    <phoneticPr fontId="2" type="noConversion"/>
  </si>
  <si>
    <t>跳遠</t>
    <phoneticPr fontId="2" type="noConversion"/>
  </si>
  <si>
    <t>較佳</t>
    <phoneticPr fontId="2" type="noConversion"/>
  </si>
  <si>
    <t>``</t>
    <phoneticPr fontId="2" type="noConversion"/>
  </si>
  <si>
    <t>坐姿</t>
    <phoneticPr fontId="2" type="noConversion"/>
  </si>
  <si>
    <t>較佳</t>
    <phoneticPr fontId="2" type="noConversion"/>
  </si>
  <si>
    <t xml:space="preserve"> </t>
    <phoneticPr fontId="2" type="noConversion"/>
  </si>
  <si>
    <t>屈膝</t>
    <phoneticPr fontId="2" type="noConversion"/>
  </si>
  <si>
    <t>較佳</t>
  </si>
  <si>
    <t>生字</t>
    <phoneticPr fontId="2" type="noConversion"/>
  </si>
  <si>
    <t>國習</t>
  </si>
  <si>
    <t>躲避球</t>
    <phoneticPr fontId="2" type="noConversion"/>
  </si>
  <si>
    <t>圈詞</t>
    <phoneticPr fontId="2" type="noConversion"/>
  </si>
  <si>
    <t>800M</t>
    <phoneticPr fontId="2" type="noConversion"/>
  </si>
  <si>
    <t>4'29''</t>
    <phoneticPr fontId="2" type="noConversion"/>
  </si>
  <si>
    <t>體適</t>
    <phoneticPr fontId="2" type="noConversion"/>
  </si>
  <si>
    <t>跑步</t>
    <phoneticPr fontId="2" type="noConversion"/>
  </si>
  <si>
    <t>B</t>
    <phoneticPr fontId="2" type="noConversion"/>
  </si>
  <si>
    <t>B+</t>
    <phoneticPr fontId="2" type="noConversion"/>
  </si>
  <si>
    <t>D</t>
    <phoneticPr fontId="2" type="noConversion"/>
  </si>
  <si>
    <t>C+</t>
  </si>
  <si>
    <t>C+</t>
    <phoneticPr fontId="2" type="noConversion"/>
  </si>
  <si>
    <t>A</t>
  </si>
  <si>
    <t>A</t>
    <phoneticPr fontId="2" type="noConversion"/>
  </si>
  <si>
    <t>C-</t>
  </si>
  <si>
    <t>C-</t>
    <phoneticPr fontId="2" type="noConversion"/>
  </si>
  <si>
    <t>E</t>
    <phoneticPr fontId="2" type="noConversion"/>
  </si>
  <si>
    <t>C</t>
    <phoneticPr fontId="2" type="noConversion"/>
  </si>
  <si>
    <t>蛋糕</t>
    <phoneticPr fontId="2" type="noConversion"/>
  </si>
  <si>
    <t>60M</t>
    <phoneticPr fontId="2" type="noConversion"/>
  </si>
  <si>
    <t>原始</t>
    <phoneticPr fontId="2" type="noConversion"/>
  </si>
  <si>
    <t>百分</t>
    <phoneticPr fontId="2" type="noConversion"/>
  </si>
  <si>
    <t>國語演說</t>
    <phoneticPr fontId="2" type="noConversion"/>
  </si>
  <si>
    <t>閩南語演說</t>
    <phoneticPr fontId="2" type="noConversion"/>
  </si>
  <si>
    <t>國語朗讀</t>
    <phoneticPr fontId="2" type="noConversion"/>
  </si>
  <si>
    <t>閩南語朗讀</t>
    <phoneticPr fontId="2" type="noConversion"/>
  </si>
  <si>
    <t>客家語朗讀</t>
    <phoneticPr fontId="2" type="noConversion"/>
  </si>
  <si>
    <t>作文</t>
    <phoneticPr fontId="2" type="noConversion"/>
  </si>
  <si>
    <t>字音字形</t>
    <phoneticPr fontId="2" type="noConversion"/>
  </si>
  <si>
    <t>寫字</t>
    <phoneticPr fontId="2" type="noConversion"/>
  </si>
  <si>
    <t>攤位</t>
    <phoneticPr fontId="2" type="noConversion"/>
  </si>
  <si>
    <t>403模範生選票</t>
    <phoneticPr fontId="2" type="noConversion"/>
  </si>
  <si>
    <t>作為本班模範生</t>
    <phoneticPr fontId="2" type="noConversion"/>
  </si>
  <si>
    <t>因為他很(       )</t>
    <phoneticPr fontId="2" type="noConversion"/>
  </si>
  <si>
    <t>朱瀅愉</t>
    <phoneticPr fontId="2" type="noConversion"/>
  </si>
  <si>
    <t>許芸甄</t>
    <phoneticPr fontId="2" type="noConversion"/>
  </si>
  <si>
    <t>王俊崴</t>
    <phoneticPr fontId="2" type="noConversion"/>
  </si>
  <si>
    <t>相聲</t>
    <phoneticPr fontId="2" type="noConversion"/>
  </si>
  <si>
    <t>樂樂棒</t>
    <phoneticPr fontId="2" type="noConversion"/>
  </si>
  <si>
    <t>第1次排棒</t>
    <phoneticPr fontId="2" type="noConversion"/>
  </si>
  <si>
    <t>投手</t>
    <phoneticPr fontId="2" type="noConversion"/>
  </si>
  <si>
    <t>捕手</t>
    <phoneticPr fontId="2" type="noConversion"/>
  </si>
  <si>
    <t>一壘手</t>
    <phoneticPr fontId="2" type="noConversion"/>
  </si>
  <si>
    <t>二壘手</t>
    <phoneticPr fontId="2" type="noConversion"/>
  </si>
  <si>
    <t>三壘手</t>
    <phoneticPr fontId="2" type="noConversion"/>
  </si>
  <si>
    <t>游擊手</t>
    <phoneticPr fontId="2" type="noConversion"/>
  </si>
  <si>
    <t>右外野</t>
    <phoneticPr fontId="2" type="noConversion"/>
  </si>
  <si>
    <t>中外野</t>
    <phoneticPr fontId="2" type="noConversion"/>
  </si>
  <si>
    <t>左外野</t>
    <phoneticPr fontId="2" type="noConversion"/>
  </si>
  <si>
    <t>防守</t>
    <phoneticPr fontId="2" type="noConversion"/>
  </si>
  <si>
    <t>候補</t>
    <phoneticPr fontId="2" type="noConversion"/>
  </si>
  <si>
    <t>日期</t>
    <phoneticPr fontId="2" type="noConversion"/>
  </si>
  <si>
    <t>A隊</t>
    <phoneticPr fontId="2" type="noConversion"/>
  </si>
  <si>
    <t>B隊</t>
    <phoneticPr fontId="2" type="noConversion"/>
  </si>
  <si>
    <t>A隊棒次</t>
    <phoneticPr fontId="2" type="noConversion"/>
  </si>
  <si>
    <t>B隊棒次</t>
    <phoneticPr fontId="2" type="noConversion"/>
  </si>
  <si>
    <t>A隊</t>
    <phoneticPr fontId="2" type="noConversion"/>
  </si>
  <si>
    <t>B隊</t>
    <phoneticPr fontId="2" type="noConversion"/>
  </si>
  <si>
    <t>聖誕樹</t>
    <phoneticPr fontId="2" type="noConversion"/>
  </si>
  <si>
    <t>聖誕帽</t>
    <phoneticPr fontId="2" type="noConversion"/>
  </si>
  <si>
    <t>平均</t>
    <phoneticPr fontId="2" type="noConversion"/>
  </si>
  <si>
    <t>第3次排棒</t>
    <phoneticPr fontId="2" type="noConversion"/>
  </si>
  <si>
    <t>捲紙</t>
    <phoneticPr fontId="2" type="noConversion"/>
  </si>
  <si>
    <t>林郁家</t>
  </si>
  <si>
    <t>F133009779</t>
  </si>
  <si>
    <t>總</t>
  </si>
  <si>
    <t>均</t>
    <phoneticPr fontId="2" type="noConversion"/>
  </si>
  <si>
    <t>均</t>
    <phoneticPr fontId="2" type="noConversion"/>
  </si>
  <si>
    <t>第4組</t>
    <phoneticPr fontId="2" type="noConversion"/>
  </si>
  <si>
    <t>寒假作業</t>
    <phoneticPr fontId="2" type="noConversion"/>
  </si>
  <si>
    <t>圖畫</t>
    <phoneticPr fontId="2" type="noConversion"/>
  </si>
  <si>
    <t>平均</t>
    <phoneticPr fontId="2" type="noConversion"/>
  </si>
  <si>
    <t>名次</t>
    <phoneticPr fontId="2" type="noConversion"/>
  </si>
  <si>
    <t>掛飾</t>
    <phoneticPr fontId="2" type="noConversion"/>
  </si>
  <si>
    <t>健康</t>
    <phoneticPr fontId="2" type="noConversion"/>
  </si>
  <si>
    <t>行事</t>
    <phoneticPr fontId="2" type="noConversion"/>
  </si>
  <si>
    <t>閱讀</t>
    <phoneticPr fontId="2" type="noConversion"/>
  </si>
  <si>
    <t>數學</t>
    <phoneticPr fontId="2" type="noConversion"/>
  </si>
  <si>
    <t>總表</t>
    <phoneticPr fontId="2" type="noConversion"/>
  </si>
  <si>
    <t>身高</t>
    <phoneticPr fontId="2" type="noConversion"/>
  </si>
  <si>
    <t>體重</t>
    <phoneticPr fontId="2" type="noConversion"/>
  </si>
  <si>
    <t>3/6 社會作業簿</t>
    <phoneticPr fontId="2" type="noConversion"/>
  </si>
  <si>
    <t>3/6 數學隨堂練習簿</t>
    <phoneticPr fontId="2" type="noConversion"/>
  </si>
  <si>
    <t>3/6 國語課堂練習簿</t>
    <phoneticPr fontId="2" type="noConversion"/>
  </si>
  <si>
    <t>3/6 上學期影印費</t>
    <phoneticPr fontId="2" type="noConversion"/>
  </si>
  <si>
    <t>結餘</t>
    <phoneticPr fontId="2" type="noConversion"/>
  </si>
  <si>
    <t>支出</t>
    <phoneticPr fontId="2" type="noConversion"/>
  </si>
  <si>
    <t>筆筒</t>
    <phoneticPr fontId="2" type="noConversion"/>
  </si>
  <si>
    <t>403下</t>
    <phoneticPr fontId="2" type="noConversion"/>
  </si>
  <si>
    <t>班費</t>
    <phoneticPr fontId="2" type="noConversion"/>
  </si>
  <si>
    <t>合計結餘</t>
    <phoneticPr fontId="2" type="noConversion"/>
  </si>
  <si>
    <t>4上結餘</t>
    <phoneticPr fontId="2" type="noConversion"/>
  </si>
  <si>
    <t>收入</t>
    <phoneticPr fontId="2" type="noConversion"/>
  </si>
  <si>
    <t>班費</t>
    <phoneticPr fontId="2" type="noConversion"/>
  </si>
  <si>
    <t>支出項目</t>
    <phoneticPr fontId="2" type="noConversion"/>
  </si>
  <si>
    <t>3年級班費收入</t>
    <phoneticPr fontId="2" type="noConversion"/>
  </si>
  <si>
    <t>轉學生</t>
    <phoneticPr fontId="2" type="noConversion"/>
  </si>
  <si>
    <t>刮畫</t>
    <phoneticPr fontId="2" type="noConversion"/>
  </si>
  <si>
    <t>足壘球</t>
    <phoneticPr fontId="2" type="noConversion"/>
  </si>
  <si>
    <t>仰臥起坐</t>
    <phoneticPr fontId="2" type="noConversion"/>
  </si>
  <si>
    <t>圈詞</t>
    <phoneticPr fontId="2" type="noConversion"/>
  </si>
  <si>
    <t>甲乙本</t>
  </si>
  <si>
    <t>小考</t>
    <phoneticPr fontId="2" type="noConversion"/>
  </si>
  <si>
    <t>隨堂</t>
    <phoneticPr fontId="2" type="noConversion"/>
  </si>
  <si>
    <t>定點投籃</t>
    <phoneticPr fontId="2" type="noConversion"/>
  </si>
  <si>
    <t>運球上籃</t>
    <phoneticPr fontId="2" type="noConversion"/>
  </si>
  <si>
    <t>感恩卡</t>
    <phoneticPr fontId="2" type="noConversion"/>
  </si>
  <si>
    <t>平均</t>
    <phoneticPr fontId="2" type="noConversion"/>
  </si>
  <si>
    <t>平均</t>
    <phoneticPr fontId="2" type="noConversion"/>
  </si>
  <si>
    <t>足球</t>
    <phoneticPr fontId="2" type="noConversion"/>
  </si>
  <si>
    <t>樂樂棒</t>
    <phoneticPr fontId="2" type="noConversion"/>
  </si>
  <si>
    <t>籃球</t>
    <phoneticPr fontId="2" type="noConversion"/>
  </si>
  <si>
    <t>期中</t>
    <phoneticPr fontId="2" type="noConversion"/>
  </si>
  <si>
    <t>5/27 影印卡儲值</t>
    <phoneticPr fontId="2" type="noConversion"/>
  </si>
  <si>
    <t>403校外教學保險名單</t>
    <phoneticPr fontId="2" type="noConversion"/>
  </si>
  <si>
    <t>學生</t>
    <phoneticPr fontId="2" type="noConversion"/>
  </si>
  <si>
    <t>劉寶蓉</t>
  </si>
  <si>
    <t>F224133826</t>
    <phoneticPr fontId="2" type="noConversion"/>
  </si>
  <si>
    <t>教師及家人</t>
    <phoneticPr fontId="2" type="noConversion"/>
  </si>
  <si>
    <t>黃湘亭</t>
    <phoneticPr fontId="2" type="noConversion"/>
  </si>
  <si>
    <t>K222453105</t>
    <phoneticPr fontId="2" type="noConversion"/>
  </si>
  <si>
    <t>陳宥妤</t>
    <phoneticPr fontId="2" type="noConversion"/>
  </si>
  <si>
    <t>F224786783</t>
    <phoneticPr fontId="2" type="noConversion"/>
  </si>
  <si>
    <t>李秀玉</t>
    <phoneticPr fontId="2" type="noConversion"/>
  </si>
  <si>
    <t>F202204817</t>
    <phoneticPr fontId="2" type="noConversion"/>
  </si>
  <si>
    <t>黃雅琪</t>
    <phoneticPr fontId="2" type="noConversion"/>
  </si>
  <si>
    <t>S221054104</t>
    <phoneticPr fontId="2" type="noConversion"/>
  </si>
  <si>
    <t>邱曉萍</t>
    <phoneticPr fontId="2" type="noConversion"/>
  </si>
  <si>
    <t>N223922138</t>
    <phoneticPr fontId="2" type="noConversion"/>
  </si>
  <si>
    <t>黃萩惠</t>
    <phoneticPr fontId="2" type="noConversion"/>
  </si>
  <si>
    <t>S221837327</t>
    <phoneticPr fontId="2" type="noConversion"/>
  </si>
  <si>
    <t>許庭瑞</t>
    <phoneticPr fontId="2" type="noConversion"/>
  </si>
  <si>
    <t>P120740795</t>
    <phoneticPr fontId="2" type="noConversion"/>
  </si>
  <si>
    <t>劉霞輝</t>
    <phoneticPr fontId="2" type="noConversion"/>
  </si>
  <si>
    <t>GB20010741</t>
    <phoneticPr fontId="2" type="noConversion"/>
  </si>
  <si>
    <t>黃智雅</t>
    <phoneticPr fontId="2" type="noConversion"/>
  </si>
  <si>
    <t>F225143488</t>
    <phoneticPr fontId="2" type="noConversion"/>
  </si>
  <si>
    <t>何翠婷</t>
    <phoneticPr fontId="2" type="noConversion"/>
  </si>
  <si>
    <t>F224992147</t>
    <phoneticPr fontId="2" type="noConversion"/>
  </si>
  <si>
    <t>呂理德</t>
    <phoneticPr fontId="2" type="noConversion"/>
  </si>
  <si>
    <t>F120114887</t>
    <phoneticPr fontId="2" type="noConversion"/>
  </si>
  <si>
    <t>學生</t>
    <phoneticPr fontId="2" type="noConversion"/>
  </si>
  <si>
    <t>師長</t>
    <phoneticPr fontId="2" type="noConversion"/>
  </si>
  <si>
    <t>保險費</t>
    <phoneticPr fontId="2" type="noConversion"/>
  </si>
  <si>
    <t>合計</t>
    <phoneticPr fontId="2" type="noConversion"/>
  </si>
  <si>
    <t>人數</t>
    <phoneticPr fontId="2" type="noConversion"/>
  </si>
  <si>
    <t>小計</t>
    <phoneticPr fontId="2" type="noConversion"/>
  </si>
  <si>
    <t>小計</t>
    <phoneticPr fontId="2" type="noConversion"/>
  </si>
  <si>
    <t>L126618986</t>
  </si>
  <si>
    <t>賴秀珍</t>
    <phoneticPr fontId="2" type="noConversion"/>
  </si>
  <si>
    <t>B260070102</t>
    <phoneticPr fontId="2" type="noConversion"/>
  </si>
  <si>
    <t>紫絲帶</t>
    <phoneticPr fontId="2" type="noConversion"/>
  </si>
  <si>
    <t>雕塑</t>
    <phoneticPr fontId="2" type="noConversion"/>
  </si>
  <si>
    <t>口腔</t>
    <phoneticPr fontId="2" type="noConversion"/>
  </si>
  <si>
    <t>母親</t>
    <phoneticPr fontId="2" type="noConversion"/>
  </si>
  <si>
    <t>小書</t>
    <phoneticPr fontId="2" type="noConversion"/>
  </si>
  <si>
    <t>雕塑</t>
  </si>
  <si>
    <t>西遊記</t>
    <phoneticPr fontId="2" type="noConversion"/>
  </si>
  <si>
    <t>影子</t>
    <phoneticPr fontId="2" type="noConversion"/>
  </si>
  <si>
    <t>足壘球</t>
    <phoneticPr fontId="2" type="noConversion"/>
  </si>
  <si>
    <t>躲避飛盤</t>
    <phoneticPr fontId="2" type="noConversion"/>
  </si>
  <si>
    <t>校外教學分組</t>
    <phoneticPr fontId="2" type="noConversion"/>
  </si>
  <si>
    <t>黑桃</t>
    <phoneticPr fontId="2" type="noConversion"/>
  </si>
  <si>
    <t>紅心</t>
    <phoneticPr fontId="2" type="noConversion"/>
  </si>
  <si>
    <t>方塊</t>
    <phoneticPr fontId="2" type="noConversion"/>
  </si>
  <si>
    <t>梅花</t>
    <phoneticPr fontId="2" type="noConversion"/>
  </si>
  <si>
    <t>陳威劭</t>
  </si>
  <si>
    <t>周宗慶</t>
  </si>
  <si>
    <t>林昱任</t>
  </si>
  <si>
    <t>李奎煜</t>
  </si>
  <si>
    <t>葉翃均</t>
  </si>
  <si>
    <t>王奕勳</t>
  </si>
  <si>
    <t>葉彥均</t>
  </si>
  <si>
    <t>洪楷珅</t>
  </si>
  <si>
    <t>吳承哲</t>
  </si>
  <si>
    <t>李宥霆</t>
  </si>
  <si>
    <t>柯皓哲</t>
  </si>
  <si>
    <t>魏宇謙</t>
  </si>
  <si>
    <t>林季曄</t>
  </si>
  <si>
    <t>高翊庭</t>
  </si>
  <si>
    <t>藍彩華</t>
  </si>
  <si>
    <t>曾琛晞</t>
  </si>
  <si>
    <t>張智函</t>
  </si>
  <si>
    <t>許凌菲</t>
  </si>
  <si>
    <t>吳羽棠</t>
  </si>
  <si>
    <t>蔡羽媗</t>
  </si>
  <si>
    <t>楊筱歆</t>
  </si>
  <si>
    <t>邱詩涵</t>
  </si>
  <si>
    <t>張涵甯</t>
  </si>
  <si>
    <t>王姿涵</t>
  </si>
  <si>
    <t>林昱萱</t>
  </si>
  <si>
    <t>李文</t>
  </si>
  <si>
    <t>F133133396</t>
  </si>
  <si>
    <t>A132546796</t>
  </si>
  <si>
    <t>F133136119</t>
  </si>
  <si>
    <t>F132564100</t>
  </si>
  <si>
    <t>F133149563</t>
  </si>
  <si>
    <t>F133147872</t>
  </si>
  <si>
    <t>F133149090</t>
  </si>
  <si>
    <t>F133346982</t>
  </si>
  <si>
    <t>F133347603</t>
  </si>
  <si>
    <t>F133350717</t>
  </si>
  <si>
    <t>F133342162</t>
  </si>
  <si>
    <t>F133402350</t>
  </si>
  <si>
    <t>F133403080</t>
  </si>
  <si>
    <t>A131336465</t>
  </si>
  <si>
    <t>F232425235</t>
  </si>
  <si>
    <t>F232426312</t>
  </si>
  <si>
    <t>F232428772</t>
  </si>
  <si>
    <t>F232432016</t>
  </si>
  <si>
    <t>F232431519</t>
  </si>
  <si>
    <t>F232437119</t>
  </si>
  <si>
    <t>F232439355</t>
  </si>
  <si>
    <t>F232451093</t>
  </si>
  <si>
    <t>F232451968</t>
  </si>
  <si>
    <t>F232452670</t>
  </si>
  <si>
    <t>F232646672</t>
  </si>
  <si>
    <t>F232649262</t>
  </si>
  <si>
    <t>100年10月31日</t>
  </si>
  <si>
    <t>100年11月01日</t>
  </si>
  <si>
    <t>101年03月12日</t>
  </si>
  <si>
    <t>101年03月16日</t>
  </si>
  <si>
    <t>101年03月24日</t>
  </si>
  <si>
    <t>101年05月02日</t>
  </si>
  <si>
    <t>101年06月17日</t>
  </si>
  <si>
    <t>101年07月02日</t>
  </si>
  <si>
    <t>101年07月07日</t>
  </si>
  <si>
    <t>101年08月15日</t>
  </si>
  <si>
    <t>101年08月21日</t>
  </si>
  <si>
    <t>101年08月31日</t>
  </si>
  <si>
    <t>100年09月05日</t>
  </si>
  <si>
    <t>100年09月17日</t>
  </si>
  <si>
    <t>100年10月20日</t>
  </si>
  <si>
    <t>100年11月18日</t>
  </si>
  <si>
    <t>100年11月26日</t>
  </si>
  <si>
    <t>101年02月22日</t>
  </si>
  <si>
    <t>101年03月10日</t>
  </si>
  <si>
    <t>101年03月28日</t>
  </si>
  <si>
    <t>101年05月06日</t>
  </si>
  <si>
    <t>101年05月14日</t>
  </si>
  <si>
    <t>101年06月16日</t>
  </si>
  <si>
    <t>101年07月04日</t>
  </si>
  <si>
    <t>家庭</t>
    <phoneticPr fontId="2" type="noConversion"/>
  </si>
  <si>
    <t>心障</t>
  </si>
  <si>
    <t>客語</t>
  </si>
  <si>
    <t>自備客語</t>
  </si>
  <si>
    <t>陳郁文</t>
  </si>
  <si>
    <t>周建志</t>
  </si>
  <si>
    <t>林柏志</t>
  </si>
  <si>
    <t>周氏翠</t>
  </si>
  <si>
    <t>葉景文</t>
  </si>
  <si>
    <t>王新嘉</t>
  </si>
  <si>
    <t>葉昱彤</t>
  </si>
  <si>
    <t>洪暉絢</t>
  </si>
  <si>
    <t>吳京達</t>
  </si>
  <si>
    <t>李鈞凱</t>
  </si>
  <si>
    <t>陳子云</t>
  </si>
  <si>
    <t>余思慧</t>
  </si>
  <si>
    <t>徐小娟</t>
  </si>
  <si>
    <t>高冠鴻</t>
  </si>
  <si>
    <t>藍慰育</t>
  </si>
  <si>
    <t>曾宗吉</t>
  </si>
  <si>
    <t>侯麗華</t>
  </si>
  <si>
    <t>許志帆</t>
  </si>
  <si>
    <t>黃郁雯</t>
  </si>
  <si>
    <t>王海韻</t>
  </si>
  <si>
    <t>許素秋</t>
  </si>
  <si>
    <t>張建明</t>
  </si>
  <si>
    <t>王登虹</t>
  </si>
  <si>
    <t>蔡佳慧</t>
  </si>
  <si>
    <t>李宏偉</t>
  </si>
  <si>
    <t>0937-452-957</t>
  </si>
  <si>
    <t>0955290320</t>
  </si>
  <si>
    <t>0939802687</t>
  </si>
  <si>
    <t>0930601320</t>
  </si>
  <si>
    <t>0912236888</t>
  </si>
  <si>
    <t>0958590890</t>
  </si>
  <si>
    <t>0985112029</t>
  </si>
  <si>
    <t>0919553163</t>
  </si>
  <si>
    <t>0933127441</t>
  </si>
  <si>
    <t>0930309222</t>
  </si>
  <si>
    <t>0911975958</t>
  </si>
  <si>
    <t>0988077076</t>
  </si>
  <si>
    <t>0939371298</t>
  </si>
  <si>
    <t>0933817706</t>
  </si>
  <si>
    <t>0988001266</t>
  </si>
  <si>
    <t>0937872417</t>
  </si>
  <si>
    <t>0916897650</t>
  </si>
  <si>
    <t>0935263029</t>
  </si>
  <si>
    <t>0922700689</t>
  </si>
  <si>
    <t>0958939456</t>
  </si>
  <si>
    <t>0966631126</t>
  </si>
  <si>
    <t>0972733050</t>
  </si>
  <si>
    <t>0936821881</t>
  </si>
  <si>
    <t>0956011032</t>
  </si>
  <si>
    <t>0932035665</t>
  </si>
  <si>
    <t>0918598779</t>
  </si>
  <si>
    <t>0989378865</t>
  </si>
  <si>
    <t>0928803213</t>
  </si>
  <si>
    <t>0984295993</t>
  </si>
  <si>
    <t>0952853128</t>
  </si>
  <si>
    <t>0922560352</t>
  </si>
  <si>
    <t>0988160766</t>
  </si>
  <si>
    <t>0977262069</t>
  </si>
  <si>
    <t>0926837571</t>
  </si>
  <si>
    <t>0971686518</t>
  </si>
  <si>
    <t>0973859859</t>
  </si>
  <si>
    <t>29828665</t>
  </si>
  <si>
    <t>02-2982-8436</t>
  </si>
  <si>
    <t>29730245</t>
  </si>
  <si>
    <t>29868806</t>
  </si>
  <si>
    <t>29753310</t>
  </si>
  <si>
    <t>22881913</t>
  </si>
  <si>
    <t>29844628</t>
  </si>
  <si>
    <t>82857600</t>
  </si>
  <si>
    <t>89824333</t>
  </si>
  <si>
    <t>29818500</t>
  </si>
  <si>
    <t>29898986</t>
  </si>
  <si>
    <t>29818343</t>
  </si>
  <si>
    <t>29841441</t>
  </si>
  <si>
    <t>29722353</t>
  </si>
  <si>
    <t>29822057</t>
  </si>
  <si>
    <t>29813316</t>
  </si>
  <si>
    <t>29720605</t>
  </si>
  <si>
    <t>29755662</t>
  </si>
  <si>
    <t>29775826</t>
  </si>
  <si>
    <t>29750247</t>
  </si>
  <si>
    <t>89762959</t>
  </si>
  <si>
    <t>0922643289</t>
  </si>
  <si>
    <t>0975357246</t>
  </si>
  <si>
    <t>0986062902</t>
  </si>
  <si>
    <t>單親父</t>
    <phoneticPr fontId="2" type="noConversion"/>
  </si>
  <si>
    <t>單親外祖無力</t>
    <phoneticPr fontId="2" type="noConversion"/>
  </si>
  <si>
    <t>單親</t>
    <phoneticPr fontId="2" type="noConversion"/>
  </si>
  <si>
    <t>單親父</t>
    <phoneticPr fontId="2" type="noConversion"/>
  </si>
  <si>
    <t>高中(職)</t>
  </si>
  <si>
    <t>學士</t>
  </si>
  <si>
    <t>碩士</t>
  </si>
  <si>
    <t>專科</t>
  </si>
  <si>
    <t>國(初)中</t>
  </si>
  <si>
    <t>父親學歷</t>
    <phoneticPr fontId="2" type="noConversion"/>
  </si>
  <si>
    <t>訊舟</t>
  </si>
  <si>
    <t>華冠通訊</t>
  </si>
  <si>
    <t>彰化銀行</t>
  </si>
  <si>
    <t>新集家具</t>
  </si>
  <si>
    <t>全勝汽車HONDA</t>
  </si>
  <si>
    <t>東森電視</t>
  </si>
  <si>
    <t>煌昌行</t>
  </si>
  <si>
    <t>京元電子</t>
  </si>
  <si>
    <t>非將實業</t>
  </si>
  <si>
    <t>力盈</t>
  </si>
  <si>
    <t>電力</t>
  </si>
  <si>
    <t>無</t>
  </si>
  <si>
    <t>電子</t>
  </si>
  <si>
    <t>家管</t>
  </si>
  <si>
    <t>臨時工</t>
  </si>
  <si>
    <t>營造</t>
  </si>
  <si>
    <t>糕餅業</t>
  </si>
  <si>
    <t>食品製造</t>
  </si>
  <si>
    <t>補教業</t>
  </si>
  <si>
    <t>商</t>
  </si>
  <si>
    <t>服務業</t>
  </si>
  <si>
    <t>電話行銷</t>
  </si>
  <si>
    <t>補教</t>
  </si>
  <si>
    <t>中小企業</t>
  </si>
  <si>
    <t>無力外配(越)</t>
    <phoneticPr fontId="2" type="noConversion"/>
  </si>
  <si>
    <r>
      <rPr>
        <sz val="8"/>
        <rFont val="細明體"/>
        <family val="3"/>
        <charset val="136"/>
      </rPr>
      <t>中低外配</t>
    </r>
    <r>
      <rPr>
        <sz val="8"/>
        <rFont val="Arial"/>
        <family val="2"/>
      </rPr>
      <t>(</t>
    </r>
    <r>
      <rPr>
        <sz val="8"/>
        <rFont val="細明體"/>
        <family val="3"/>
        <charset val="136"/>
      </rPr>
      <t>中</t>
    </r>
    <r>
      <rPr>
        <sz val="8"/>
        <rFont val="Arial"/>
        <family val="2"/>
      </rPr>
      <t>)</t>
    </r>
    <phoneticPr fontId="2" type="noConversion"/>
  </si>
  <si>
    <r>
      <rPr>
        <sz val="8"/>
        <rFont val="細明體"/>
        <family val="3"/>
        <charset val="136"/>
      </rPr>
      <t>外配</t>
    </r>
    <r>
      <rPr>
        <sz val="8"/>
        <rFont val="Arial"/>
        <family val="2"/>
      </rPr>
      <t>(</t>
    </r>
    <r>
      <rPr>
        <sz val="8"/>
        <rFont val="細明體"/>
        <family val="3"/>
        <charset val="136"/>
      </rPr>
      <t>中</t>
    </r>
    <r>
      <rPr>
        <sz val="8"/>
        <rFont val="Arial"/>
        <family val="2"/>
      </rPr>
      <t>)</t>
    </r>
    <phoneticPr fontId="2" type="noConversion"/>
  </si>
  <si>
    <t>外配(中)</t>
    <phoneticPr fontId="2" type="noConversion"/>
  </si>
  <si>
    <t>品檢員</t>
  </si>
  <si>
    <t>行政人員</t>
  </si>
  <si>
    <t>學生</t>
  </si>
  <si>
    <t>生管</t>
  </si>
  <si>
    <t>老師</t>
  </si>
  <si>
    <t>鄭怡秋</t>
  </si>
  <si>
    <t>吳佩芸</t>
  </si>
  <si>
    <t>潘品安</t>
  </si>
  <si>
    <t>曾雅玲</t>
  </si>
  <si>
    <t>曾翊硯</t>
  </si>
  <si>
    <t>施秀蓉</t>
  </si>
  <si>
    <t>粘怡真</t>
  </si>
  <si>
    <t>楊芳宜</t>
  </si>
  <si>
    <t>陳淑玲</t>
  </si>
  <si>
    <t>劉培琳</t>
  </si>
  <si>
    <t>謝燕宜</t>
  </si>
  <si>
    <t>陳淑鳳</t>
  </si>
  <si>
    <t>陳淑華</t>
  </si>
  <si>
    <t>曾雅鈴</t>
  </si>
  <si>
    <t>李欽毅</t>
  </si>
  <si>
    <t>柯献智</t>
  </si>
  <si>
    <t>魏勤力</t>
  </si>
  <si>
    <t>林献忠</t>
  </si>
  <si>
    <t>張文虎</t>
  </si>
  <si>
    <t>吳明松</t>
  </si>
  <si>
    <t>蔡志榮</t>
  </si>
  <si>
    <t>楊明峰</t>
  </si>
  <si>
    <t>邱顯凱</t>
  </si>
  <si>
    <t>林世泓</t>
  </si>
  <si>
    <t>母親職稱</t>
    <phoneticPr fontId="2" type="noConversion"/>
  </si>
  <si>
    <t>9月</t>
    <phoneticPr fontId="2" type="noConversion"/>
  </si>
  <si>
    <t>9月</t>
    <phoneticPr fontId="2" type="noConversion"/>
  </si>
  <si>
    <t>10月</t>
  </si>
  <si>
    <t>10月</t>
    <phoneticPr fontId="2" type="noConversion"/>
  </si>
  <si>
    <t>1晚到</t>
    <phoneticPr fontId="2" type="noConversion"/>
  </si>
  <si>
    <t>2遲到</t>
    <phoneticPr fontId="2" type="noConversion"/>
  </si>
  <si>
    <t>4病假</t>
    <phoneticPr fontId="2" type="noConversion"/>
  </si>
  <si>
    <t>5曠課</t>
    <phoneticPr fontId="2" type="noConversion"/>
  </si>
  <si>
    <t>王憲陽</t>
  </si>
  <si>
    <t>307   上學期 班級幹部</t>
    <phoneticPr fontId="2" type="noConversion"/>
  </si>
  <si>
    <t>307下</t>
    <phoneticPr fontId="2" type="noConversion"/>
  </si>
  <si>
    <t>第1組</t>
    <phoneticPr fontId="2" type="noConversion"/>
  </si>
  <si>
    <t>第3組</t>
    <phoneticPr fontId="2" type="noConversion"/>
  </si>
  <si>
    <t>第4組</t>
    <phoneticPr fontId="2" type="noConversion"/>
  </si>
  <si>
    <t>第5組</t>
    <phoneticPr fontId="2" type="noConversion"/>
  </si>
  <si>
    <t>第6組</t>
    <phoneticPr fontId="2" type="noConversion"/>
  </si>
  <si>
    <t>陳郁文</t>
    <phoneticPr fontId="2" type="noConversion"/>
  </si>
  <si>
    <t>高薇蓉</t>
    <phoneticPr fontId="2" type="noConversion"/>
  </si>
  <si>
    <t>0955290320</t>
    <phoneticPr fontId="2" type="noConversion"/>
  </si>
  <si>
    <t>0978077806</t>
    <phoneticPr fontId="2" type="noConversion"/>
  </si>
  <si>
    <t>周宗慶</t>
    <phoneticPr fontId="2" type="noConversion"/>
  </si>
  <si>
    <t>第1大排掃地</t>
    <phoneticPr fontId="2" type="noConversion"/>
  </si>
  <si>
    <t>第1大排拖地</t>
    <phoneticPr fontId="2" type="noConversion"/>
  </si>
  <si>
    <t>第2大排掃地</t>
  </si>
  <si>
    <t>第2大排拖地</t>
  </si>
  <si>
    <t>第3大排掃地</t>
  </si>
  <si>
    <t>第3大排拖地</t>
  </si>
  <si>
    <t>走廊掃地</t>
    <phoneticPr fontId="2" type="noConversion"/>
  </si>
  <si>
    <t>走廊拖地</t>
    <phoneticPr fontId="2" type="noConversion"/>
  </si>
  <si>
    <t>用抹布擦玻璃及窗台</t>
    <phoneticPr fontId="2" type="noConversion"/>
  </si>
  <si>
    <t>校史室</t>
    <phoneticPr fontId="2" type="noConversion"/>
  </si>
  <si>
    <t>0953355559</t>
    <phoneticPr fontId="2" type="noConversion"/>
  </si>
  <si>
    <t>0953615855</t>
    <phoneticPr fontId="2" type="noConversion"/>
  </si>
  <si>
    <t>0953216200</t>
    <phoneticPr fontId="2" type="noConversion"/>
  </si>
  <si>
    <t>0937452957</t>
    <phoneticPr fontId="2" type="noConversion"/>
  </si>
  <si>
    <t>0921955320</t>
    <phoneticPr fontId="2" type="noConversion"/>
  </si>
  <si>
    <t>0939336820</t>
    <phoneticPr fontId="2" type="noConversion"/>
  </si>
  <si>
    <t>0938135631</t>
    <phoneticPr fontId="2" type="noConversion"/>
  </si>
  <si>
    <t>0932059593</t>
    <phoneticPr fontId="2" type="noConversion"/>
  </si>
  <si>
    <t>0939802687</t>
    <phoneticPr fontId="2" type="noConversion"/>
  </si>
  <si>
    <t>0966631126</t>
    <phoneticPr fontId="2" type="noConversion"/>
  </si>
  <si>
    <t>0932052626</t>
    <phoneticPr fontId="2" type="noConversion"/>
  </si>
  <si>
    <t>0973031062</t>
    <phoneticPr fontId="2" type="noConversion"/>
  </si>
  <si>
    <t>0973031061</t>
    <phoneticPr fontId="2" type="noConversion"/>
  </si>
  <si>
    <t>0955314910</t>
    <phoneticPr fontId="2" type="noConversion"/>
  </si>
  <si>
    <t>0975357246</t>
    <phoneticPr fontId="2" type="noConversion"/>
  </si>
  <si>
    <t>緊急聯絡人</t>
    <phoneticPr fontId="2" type="noConversion"/>
  </si>
  <si>
    <t>8月</t>
    <phoneticPr fontId="2" type="noConversion"/>
  </si>
  <si>
    <t>緊急聯絡</t>
    <phoneticPr fontId="2" type="noConversion"/>
  </si>
  <si>
    <t>號</t>
    <phoneticPr fontId="2" type="noConversion"/>
  </si>
  <si>
    <t>基本資料</t>
    <phoneticPr fontId="2" type="noConversion"/>
  </si>
  <si>
    <t>防災卡</t>
    <phoneticPr fontId="2" type="noConversion"/>
  </si>
  <si>
    <t>名牌</t>
    <phoneticPr fontId="2" type="noConversion"/>
  </si>
  <si>
    <t>帽子</t>
    <phoneticPr fontId="2" type="noConversion"/>
  </si>
  <si>
    <t>圖畫</t>
    <phoneticPr fontId="2" type="noConversion"/>
  </si>
  <si>
    <t>大門:整隊、帶隊、經過導護老師時舉班級路隊旗並喊口令。</t>
    <phoneticPr fontId="2" type="noConversion"/>
  </si>
  <si>
    <t>上</t>
    <phoneticPr fontId="2" type="noConversion"/>
  </si>
  <si>
    <t>陳威劭</t>
    <phoneticPr fontId="2" type="noConversion"/>
  </si>
  <si>
    <r>
      <t>100</t>
    </r>
    <r>
      <rPr>
        <sz val="8"/>
        <rFont val="細明體"/>
        <family val="3"/>
        <charset val="136"/>
      </rPr>
      <t>年</t>
    </r>
    <r>
      <rPr>
        <sz val="8"/>
        <rFont val="Arial"/>
        <family val="2"/>
      </rPr>
      <t>09</t>
    </r>
    <r>
      <rPr>
        <sz val="8"/>
        <rFont val="細明體"/>
        <family val="3"/>
        <charset val="136"/>
      </rPr>
      <t>月</t>
    </r>
    <r>
      <rPr>
        <sz val="8"/>
        <rFont val="Arial"/>
        <family val="2"/>
      </rPr>
      <t>09</t>
    </r>
    <r>
      <rPr>
        <sz val="8"/>
        <rFont val="細明體"/>
        <family val="3"/>
        <charset val="136"/>
      </rPr>
      <t>日</t>
    </r>
    <phoneticPr fontId="2" type="noConversion"/>
  </si>
  <si>
    <t>林昱任</t>
    <phoneticPr fontId="2" type="noConversion"/>
  </si>
  <si>
    <t>李奎煜</t>
    <phoneticPr fontId="2" type="noConversion"/>
  </si>
  <si>
    <t>葉翃均</t>
    <phoneticPr fontId="2" type="noConversion"/>
  </si>
  <si>
    <t>王奕勳</t>
    <phoneticPr fontId="2" type="noConversion"/>
  </si>
  <si>
    <t>葉彥均</t>
    <phoneticPr fontId="2" type="noConversion"/>
  </si>
  <si>
    <r>
      <t>101</t>
    </r>
    <r>
      <rPr>
        <sz val="8"/>
        <rFont val="細明體"/>
        <family val="3"/>
        <charset val="136"/>
      </rPr>
      <t>年</t>
    </r>
    <r>
      <rPr>
        <sz val="8"/>
        <rFont val="Arial"/>
        <family val="2"/>
      </rPr>
      <t>03</t>
    </r>
    <r>
      <rPr>
        <sz val="8"/>
        <rFont val="細明體"/>
        <family val="3"/>
        <charset val="136"/>
      </rPr>
      <t>月</t>
    </r>
    <r>
      <rPr>
        <sz val="8"/>
        <rFont val="Arial"/>
        <family val="2"/>
      </rPr>
      <t>25</t>
    </r>
    <r>
      <rPr>
        <sz val="8"/>
        <rFont val="細明體"/>
        <family val="3"/>
        <charset val="136"/>
      </rPr>
      <t>日</t>
    </r>
    <phoneticPr fontId="2" type="noConversion"/>
  </si>
  <si>
    <t>洪楷珅</t>
    <phoneticPr fontId="2" type="noConversion"/>
  </si>
  <si>
    <t>李宥霆</t>
    <phoneticPr fontId="2" type="noConversion"/>
  </si>
  <si>
    <t>柯皓哲</t>
    <phoneticPr fontId="2" type="noConversion"/>
  </si>
  <si>
    <t>魏宇謙</t>
    <phoneticPr fontId="2" type="noConversion"/>
  </si>
  <si>
    <t>林季曄</t>
    <phoneticPr fontId="2" type="noConversion"/>
  </si>
  <si>
    <t>高翊庭</t>
    <phoneticPr fontId="2" type="noConversion"/>
  </si>
  <si>
    <t>藍彩華</t>
    <phoneticPr fontId="2" type="noConversion"/>
  </si>
  <si>
    <t>曾琛晞</t>
    <phoneticPr fontId="2" type="noConversion"/>
  </si>
  <si>
    <t>張智函</t>
    <phoneticPr fontId="2" type="noConversion"/>
  </si>
  <si>
    <t>許凌菲</t>
    <phoneticPr fontId="2" type="noConversion"/>
  </si>
  <si>
    <t>吳羽棠</t>
    <phoneticPr fontId="2" type="noConversion"/>
  </si>
  <si>
    <t>楊筱歆</t>
    <phoneticPr fontId="2" type="noConversion"/>
  </si>
  <si>
    <t>邱詩涵</t>
    <phoneticPr fontId="2" type="noConversion"/>
  </si>
  <si>
    <t>張涵甯</t>
    <phoneticPr fontId="2" type="noConversion"/>
  </si>
  <si>
    <t>王姿涵</t>
    <phoneticPr fontId="2" type="noConversion"/>
  </si>
  <si>
    <t>林昱萱</t>
    <phoneticPr fontId="2" type="noConversion"/>
  </si>
  <si>
    <t>李文</t>
    <phoneticPr fontId="2" type="noConversion"/>
  </si>
  <si>
    <t>班費300</t>
    <phoneticPr fontId="2" type="noConversion"/>
  </si>
  <si>
    <t>吳承哲</t>
    <phoneticPr fontId="2" type="noConversion"/>
  </si>
  <si>
    <t>蔡羽媗</t>
    <phoneticPr fontId="2" type="noConversion"/>
  </si>
  <si>
    <t>黃安祺</t>
    <phoneticPr fontId="2" type="noConversion"/>
  </si>
  <si>
    <t>班費</t>
    <phoneticPr fontId="2" type="noConversion"/>
  </si>
  <si>
    <t>翰林</t>
    <phoneticPr fontId="2" type="noConversion"/>
  </si>
  <si>
    <t>南一</t>
    <phoneticPr fontId="2" type="noConversion"/>
  </si>
  <si>
    <t>康軒</t>
    <phoneticPr fontId="2" type="noConversion"/>
  </si>
  <si>
    <t>結餘</t>
    <phoneticPr fontId="2" type="noConversion"/>
  </si>
  <si>
    <t>20200910回家作業</t>
  </si>
  <si>
    <t>1.國二圈詞3遍</t>
    <phoneticPr fontId="2" type="noConversion"/>
  </si>
  <si>
    <t>2.數習16-17</t>
    <phoneticPr fontId="2" type="noConversion"/>
  </si>
  <si>
    <t>3.量體溫</t>
    <phoneticPr fontId="2" type="noConversion"/>
  </si>
  <si>
    <t>4.英文字母Aa~Zz 各2遍</t>
    <phoneticPr fontId="2" type="noConversion"/>
  </si>
  <si>
    <t>5.明天考英文字母Aa~Zz默寫</t>
    <phoneticPr fontId="2" type="noConversion"/>
  </si>
  <si>
    <t>6.發下團體保險說明</t>
    <phoneticPr fontId="2" type="noConversion"/>
  </si>
  <si>
    <t>家長日</t>
    <phoneticPr fontId="2" type="noConversion"/>
  </si>
  <si>
    <t>307班親會組織</t>
    <phoneticPr fontId="2" type="noConversion"/>
  </si>
  <si>
    <t>109/09/12</t>
    <phoneticPr fontId="2" type="noConversion"/>
  </si>
  <si>
    <t>307班費收支情形</t>
    <phoneticPr fontId="2" type="noConversion"/>
  </si>
  <si>
    <t>日期</t>
    <phoneticPr fontId="2" type="noConversion"/>
  </si>
  <si>
    <t>收入</t>
    <phoneticPr fontId="2" type="noConversion"/>
  </si>
  <si>
    <t>小計</t>
    <phoneticPr fontId="2" type="noConversion"/>
  </si>
  <si>
    <t>支出</t>
    <phoneticPr fontId="2" type="noConversion"/>
  </si>
  <si>
    <t>金額</t>
    <phoneticPr fontId="2" type="noConversion"/>
  </si>
  <si>
    <t>班費</t>
    <phoneticPr fontId="2" type="noConversion"/>
  </si>
  <si>
    <t>班費結餘</t>
    <phoneticPr fontId="2" type="noConversion"/>
  </si>
  <si>
    <t>目前結餘</t>
    <phoneticPr fontId="2" type="noConversion"/>
  </si>
  <si>
    <t>元</t>
    <phoneticPr fontId="2" type="noConversion"/>
  </si>
  <si>
    <t>流感疫苗</t>
    <phoneticPr fontId="2" type="noConversion"/>
  </si>
  <si>
    <t>拮据</t>
    <phoneticPr fontId="2" type="noConversion"/>
  </si>
  <si>
    <t>國語課堂練習</t>
    <phoneticPr fontId="2" type="noConversion"/>
  </si>
  <si>
    <t>社會作業簿</t>
    <phoneticPr fontId="2" type="noConversion"/>
  </si>
  <si>
    <t>教師</t>
    <phoneticPr fontId="2" type="noConversion"/>
  </si>
  <si>
    <t>表現</t>
  </si>
  <si>
    <t>打掃</t>
  </si>
  <si>
    <t>出席</t>
  </si>
  <si>
    <t>潔牙</t>
  </si>
  <si>
    <t>漱口</t>
  </si>
  <si>
    <t>跳繩</t>
  </si>
  <si>
    <t>聯絡簿</t>
  </si>
  <si>
    <t>秩序</t>
  </si>
  <si>
    <t>科任</t>
    <phoneticPr fontId="2" type="noConversion"/>
  </si>
  <si>
    <t>大象</t>
    <phoneticPr fontId="2" type="noConversion"/>
  </si>
  <si>
    <t>10月</t>
    <phoneticPr fontId="2" type="noConversion"/>
  </si>
  <si>
    <t>借書證</t>
    <phoneticPr fontId="2" type="noConversion"/>
  </si>
  <si>
    <t>正義國小三年七班  上學期   平時成績紀錄表</t>
    <phoneticPr fontId="2" type="noConversion"/>
  </si>
  <si>
    <t>60M</t>
    <phoneticPr fontId="2" type="noConversion"/>
  </si>
  <si>
    <t>60公尺</t>
    <phoneticPr fontId="2" type="noConversion"/>
  </si>
  <si>
    <t>2020/1029</t>
    <phoneticPr fontId="2" type="noConversion"/>
  </si>
  <si>
    <t>謝添達</t>
  </si>
  <si>
    <t>綜合活動</t>
  </si>
  <si>
    <t>鍾昀玲</t>
  </si>
  <si>
    <t>黃齡瑤</t>
  </si>
  <si>
    <t>國補(彈)</t>
  </si>
  <si>
    <t>英語(彈)</t>
  </si>
  <si>
    <t>資訊(彈)</t>
  </si>
  <si>
    <t>李振洋</t>
  </si>
  <si>
    <t>美術</t>
  </si>
  <si>
    <t>洪翊珊</t>
  </si>
  <si>
    <t>表演</t>
  </si>
  <si>
    <t>體育</t>
  </si>
  <si>
    <t>閱讀(彈)</t>
  </si>
  <si>
    <t>新北市三重區正義國民小學　110學年度第1學期</t>
  </si>
  <si>
    <t>四年七班　班級課表(導師：胡永輝)</t>
  </si>
  <si>
    <t>　節次\星期　</t>
  </si>
  <si>
    <t>08:40~09:20</t>
  </si>
  <si>
    <t>09:30~10:10</t>
  </si>
  <si>
    <t>10:30~11:10</t>
  </si>
  <si>
    <t>11:20~12:00</t>
  </si>
  <si>
    <t>12:00~13:20</t>
  </si>
  <si>
    <t>13:30~14:10</t>
  </si>
  <si>
    <t>14:20~15:00</t>
  </si>
  <si>
    <t>15:20~16:00</t>
  </si>
  <si>
    <t>本土語</t>
    <phoneticPr fontId="2" type="noConversion"/>
  </si>
  <si>
    <r>
      <t xml:space="preserve">07:50~08:30   </t>
    </r>
    <r>
      <rPr>
        <b/>
        <sz val="10"/>
        <color theme="1"/>
        <rFont val="微軟正黑體"/>
        <family val="2"/>
        <charset val="136"/>
      </rPr>
      <t>早自習</t>
    </r>
    <phoneticPr fontId="2" type="noConversion"/>
  </si>
  <si>
    <t>講 桌</t>
  </si>
  <si>
    <t>第4組</t>
  </si>
  <si>
    <t>老師的小幫手</t>
    <phoneticPr fontId="2" type="noConversion"/>
  </si>
  <si>
    <t>東門:整隊、帶隊、經過導護老師時舉班級路隊旗並喊口令。</t>
    <phoneticPr fontId="2" type="noConversion"/>
  </si>
  <si>
    <t>自強門:整隊、帶隊、經過導護老師時舉班級路隊旗並喊口令。</t>
    <phoneticPr fontId="2" type="noConversion"/>
  </si>
  <si>
    <t>協助叮嚀打掃工作、協助有事缺席同學的工作。(外掃512.513)</t>
    <phoneticPr fontId="2" type="noConversion"/>
  </si>
  <si>
    <t>老師座位區掃地、拖地、整理桌子</t>
    <phoneticPr fontId="2" type="noConversion"/>
  </si>
  <si>
    <t>窗框</t>
    <phoneticPr fontId="2" type="noConversion"/>
  </si>
  <si>
    <t>鍾昀玲</t>
    <phoneticPr fontId="2" type="noConversion"/>
  </si>
  <si>
    <t>床鋪</t>
    <phoneticPr fontId="2" type="noConversion"/>
  </si>
  <si>
    <t>家長日回條</t>
    <phoneticPr fontId="2" type="noConversion"/>
  </si>
  <si>
    <t>封面</t>
    <phoneticPr fontId="2" type="noConversion"/>
  </si>
  <si>
    <t>閱1</t>
    <phoneticPr fontId="2" type="noConversion"/>
  </si>
  <si>
    <t>閱2</t>
  </si>
  <si>
    <t>閱3</t>
  </si>
  <si>
    <t>桌遊</t>
    <phoneticPr fontId="2" type="noConversion"/>
  </si>
  <si>
    <t>玩具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</si>
</sst>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"/>
    <numFmt numFmtId="177" formatCode="m/d;@"/>
    <numFmt numFmtId="178" formatCode="m&quot;月&quot;d&quot;日&quot;;@"/>
    <numFmt numFmtId="179" formatCode="0.0"/>
    <numFmt numFmtId="180" formatCode="0.0_ "/>
  </numFmts>
  <fonts count="77">
    <font>
      <sz val="12"/>
      <color theme="1"/>
      <name val="新細明體"/>
      <family val="2"/>
      <charset val="136"/>
      <scheme val="minor"/>
    </font>
    <font>
      <sz val="11"/>
      <name val="Arial"/>
      <family val="2"/>
    </font>
    <font>
      <sz val="9"/>
      <name val="新細明體"/>
      <family val="2"/>
      <charset val="136"/>
      <scheme val="minor"/>
    </font>
    <font>
      <sz val="11"/>
      <name val="細明體"/>
      <family val="3"/>
      <charset val="136"/>
    </font>
    <font>
      <sz val="8"/>
      <name val="細明體"/>
      <family val="3"/>
      <charset val="136"/>
    </font>
    <font>
      <sz val="8"/>
      <name val="Arial"/>
      <family val="2"/>
    </font>
    <font>
      <sz val="8"/>
      <color theme="1"/>
      <name val="新細明體"/>
      <family val="2"/>
      <charset val="136"/>
      <scheme val="minor"/>
    </font>
    <font>
      <sz val="10"/>
      <name val="Arial"/>
      <family val="2"/>
    </font>
    <font>
      <sz val="18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0"/>
      <name val="細明體"/>
      <family val="3"/>
      <charset val="136"/>
    </font>
    <font>
      <sz val="26"/>
      <color rgb="FF0000FF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26"/>
      <color rgb="FFFF0000"/>
      <name val="標楷體"/>
      <family val="4"/>
      <charset val="136"/>
    </font>
    <font>
      <sz val="28"/>
      <color rgb="FFFF0000"/>
      <name val="標楷體"/>
      <family val="4"/>
      <charset val="136"/>
    </font>
    <font>
      <sz val="36"/>
      <color rgb="FF0000FF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u/>
      <sz val="22"/>
      <color rgb="FFFF0000"/>
      <name val="標楷體"/>
      <family val="4"/>
      <charset val="136"/>
    </font>
    <font>
      <sz val="36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6"/>
      <name val="Arial"/>
      <family val="2"/>
    </font>
    <font>
      <sz val="10"/>
      <color theme="1"/>
      <name val="新細明體"/>
      <family val="2"/>
      <charset val="136"/>
      <scheme val="minor"/>
    </font>
    <font>
      <sz val="11"/>
      <color rgb="FFFF000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Calibri"/>
      <family val="2"/>
    </font>
    <font>
      <b/>
      <sz val="6"/>
      <name val="細明體"/>
      <family val="3"/>
      <charset val="136"/>
    </font>
    <font>
      <sz val="12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細明體"/>
      <family val="3"/>
      <charset val="136"/>
    </font>
    <font>
      <sz val="12"/>
      <name val="新細明體"/>
      <family val="2"/>
      <charset val="136"/>
    </font>
    <font>
      <b/>
      <sz val="150"/>
      <color theme="1"/>
      <name val="標楷體"/>
      <family val="4"/>
      <charset val="136"/>
    </font>
    <font>
      <b/>
      <sz val="120"/>
      <name val="標楷體"/>
      <family val="4"/>
      <charset val="136"/>
    </font>
    <font>
      <sz val="120"/>
      <color theme="1"/>
      <name val="新細明體"/>
      <family val="2"/>
      <charset val="136"/>
      <scheme val="minor"/>
    </font>
    <font>
      <sz val="130"/>
      <color theme="1"/>
      <name val="新細明體"/>
      <family val="2"/>
      <charset val="136"/>
      <scheme val="minor"/>
    </font>
    <font>
      <sz val="8"/>
      <color rgb="FFFF0000"/>
      <name val="Arial"/>
      <family val="2"/>
    </font>
    <font>
      <b/>
      <sz val="100"/>
      <name val="標楷體"/>
      <family val="4"/>
      <charset val="136"/>
    </font>
    <font>
      <sz val="100"/>
      <color theme="1"/>
      <name val="Yu Gothic UI"/>
      <family val="2"/>
      <charset val="128"/>
    </font>
    <font>
      <sz val="12"/>
      <color theme="1"/>
      <name val="微軟正黑體"/>
      <family val="2"/>
      <charset val="136"/>
    </font>
    <font>
      <sz val="18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0000FF"/>
      <name val="標楷體"/>
      <family val="4"/>
      <charset val="136"/>
    </font>
    <font>
      <b/>
      <sz val="18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name val="微軟正黑體"/>
      <family val="2"/>
      <charset val="136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5DFB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4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6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0" fillId="0" borderId="43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3" xfId="0" applyFont="1" applyBorder="1">
      <alignment vertical="center"/>
    </xf>
    <xf numFmtId="0" fontId="10" fillId="0" borderId="54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3" xfId="0" applyFont="1" applyBorder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10" fillId="0" borderId="6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28" fillId="0" borderId="55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176" fontId="29" fillId="0" borderId="0" xfId="0" applyNumberFormat="1" applyFont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0" fillId="0" borderId="53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53" xfId="0" applyNumberFormat="1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178" fontId="8" fillId="0" borderId="7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2" fillId="0" borderId="74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4" fillId="6" borderId="74" xfId="0" applyFont="1" applyFill="1" applyBorder="1" applyAlignment="1">
      <alignment horizontal="center" vertical="center" wrapText="1"/>
    </xf>
    <xf numFmtId="0" fontId="34" fillId="6" borderId="67" xfId="0" applyFont="1" applyFill="1" applyBorder="1" applyAlignment="1">
      <alignment horizontal="center" vertical="center" wrapText="1"/>
    </xf>
    <xf numFmtId="0" fontId="34" fillId="6" borderId="75" xfId="0" applyFont="1" applyFill="1" applyBorder="1" applyAlignment="1">
      <alignment horizontal="center" vertical="center" wrapText="1"/>
    </xf>
    <xf numFmtId="0" fontId="34" fillId="6" borderId="76" xfId="0" applyFont="1" applyFill="1" applyBorder="1" applyAlignment="1">
      <alignment horizontal="center" vertical="center" wrapText="1"/>
    </xf>
    <xf numFmtId="0" fontId="34" fillId="6" borderId="77" xfId="0" applyFont="1" applyFill="1" applyBorder="1" applyAlignment="1">
      <alignment horizontal="center" vertical="center" wrapText="1"/>
    </xf>
    <xf numFmtId="0" fontId="34" fillId="6" borderId="78" xfId="0" applyFont="1" applyFill="1" applyBorder="1" applyAlignment="1">
      <alignment horizontal="center" vertical="center" wrapText="1"/>
    </xf>
    <xf numFmtId="0" fontId="0" fillId="0" borderId="68" xfId="0" applyBorder="1">
      <alignment vertical="center"/>
    </xf>
    <xf numFmtId="0" fontId="1" fillId="0" borderId="5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2" fillId="0" borderId="53" xfId="0" applyNumberFormat="1" applyFont="1" applyFill="1" applyBorder="1" applyAlignment="1" applyProtection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" fillId="0" borderId="57" xfId="0" applyNumberFormat="1" applyFont="1" applyFill="1" applyBorder="1" applyAlignment="1" applyProtection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53" xfId="0" applyNumberFormat="1" applyFont="1" applyFill="1" applyBorder="1" applyAlignment="1" applyProtection="1">
      <alignment horizontal="center" vertical="center"/>
    </xf>
    <xf numFmtId="0" fontId="1" fillId="0" borderId="68" xfId="0" applyNumberFormat="1" applyFont="1" applyFill="1" applyBorder="1" applyAlignment="1" applyProtection="1">
      <alignment horizontal="center" vertical="center"/>
    </xf>
    <xf numFmtId="0" fontId="0" fillId="0" borderId="83" xfId="0" applyBorder="1">
      <alignment vertical="center"/>
    </xf>
    <xf numFmtId="0" fontId="5" fillId="0" borderId="56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38" fillId="0" borderId="53" xfId="0" applyNumberFormat="1" applyFont="1" applyFill="1" applyBorder="1" applyAlignment="1" applyProtection="1">
      <alignment horizontal="center" vertical="center"/>
    </xf>
    <xf numFmtId="0" fontId="34" fillId="0" borderId="0" xfId="0" applyFont="1">
      <alignment vertical="center"/>
    </xf>
    <xf numFmtId="0" fontId="32" fillId="0" borderId="2" xfId="0" applyFont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84" xfId="0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4" fillId="6" borderId="53" xfId="0" applyFont="1" applyFill="1" applyBorder="1" applyAlignment="1">
      <alignment horizontal="center" vertical="center" wrapText="1"/>
    </xf>
    <xf numFmtId="0" fontId="34" fillId="6" borderId="85" xfId="0" applyFont="1" applyFill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43" fillId="0" borderId="53" xfId="0" applyFont="1" applyBorder="1" applyAlignment="1">
      <alignment horizontal="center" vertical="center" wrapText="1"/>
    </xf>
    <xf numFmtId="0" fontId="43" fillId="0" borderId="85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44" fillId="0" borderId="85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4" fillId="0" borderId="57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top" wrapText="1"/>
    </xf>
    <xf numFmtId="0" fontId="29" fillId="0" borderId="86" xfId="0" applyFont="1" applyBorder="1" applyAlignment="1">
      <alignment horizontal="center" vertical="top" wrapText="1"/>
    </xf>
    <xf numFmtId="0" fontId="0" fillId="0" borderId="53" xfId="0" applyBorder="1" applyAlignment="1">
      <alignment horizontal="left" vertical="center"/>
    </xf>
    <xf numFmtId="0" fontId="29" fillId="0" borderId="53" xfId="0" applyFont="1" applyBorder="1" applyAlignment="1">
      <alignment horizontal="center" vertical="center"/>
    </xf>
    <xf numFmtId="176" fontId="0" fillId="0" borderId="53" xfId="0" applyNumberFormat="1" applyBorder="1" applyAlignment="1">
      <alignment horizontal="left" vertical="center"/>
    </xf>
    <xf numFmtId="0" fontId="34" fillId="6" borderId="2" xfId="0" applyFont="1" applyFill="1" applyBorder="1" applyAlignment="1">
      <alignment horizontal="center" vertical="center" wrapText="1"/>
    </xf>
    <xf numFmtId="0" fontId="34" fillId="6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4" xfId="0" applyNumberFormat="1" applyFill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29" fillId="0" borderId="70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7" fillId="0" borderId="89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49" fillId="0" borderId="89" xfId="0" applyFont="1" applyBorder="1" applyAlignment="1">
      <alignment horizontal="center" vertical="center"/>
    </xf>
    <xf numFmtId="0" fontId="49" fillId="0" borderId="88" xfId="0" applyFont="1" applyBorder="1" applyAlignment="1">
      <alignment horizontal="center" vertical="center"/>
    </xf>
    <xf numFmtId="0" fontId="49" fillId="0" borderId="90" xfId="0" applyFont="1" applyBorder="1" applyAlignment="1">
      <alignment horizontal="center" vertical="center"/>
    </xf>
    <xf numFmtId="0" fontId="49" fillId="0" borderId="92" xfId="0" applyFont="1" applyBorder="1" applyAlignment="1">
      <alignment horizontal="center" vertical="center"/>
    </xf>
    <xf numFmtId="0" fontId="49" fillId="0" borderId="87" xfId="0" applyFont="1" applyBorder="1" applyAlignment="1">
      <alignment horizontal="center" vertical="center"/>
    </xf>
    <xf numFmtId="0" fontId="49" fillId="0" borderId="93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88" xfId="0" applyFont="1" applyBorder="1" applyAlignment="1">
      <alignment horizontal="center" vertical="center"/>
    </xf>
    <xf numFmtId="0" fontId="50" fillId="0" borderId="87" xfId="0" applyFont="1" applyBorder="1" applyAlignment="1">
      <alignment horizontal="center" vertical="center"/>
    </xf>
    <xf numFmtId="0" fontId="50" fillId="0" borderId="93" xfId="0" applyFont="1" applyBorder="1" applyAlignment="1">
      <alignment horizontal="center" vertical="center"/>
    </xf>
    <xf numFmtId="0" fontId="50" fillId="0" borderId="89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51" fillId="0" borderId="89" xfId="0" applyNumberFormat="1" applyFont="1" applyFill="1" applyBorder="1" applyAlignment="1" applyProtection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96" xfId="0" applyNumberFormat="1" applyFont="1" applyFill="1" applyBorder="1" applyAlignment="1" applyProtection="1">
      <alignment horizontal="center" vertical="center"/>
    </xf>
    <xf numFmtId="0" fontId="1" fillId="0" borderId="89" xfId="0" applyNumberFormat="1" applyFont="1" applyFill="1" applyBorder="1" applyAlignment="1" applyProtection="1">
      <alignment horizontal="center" vertical="center"/>
    </xf>
    <xf numFmtId="0" fontId="7" fillId="0" borderId="89" xfId="1" applyNumberFormat="1" applyFont="1" applyFill="1" applyBorder="1" applyAlignment="1">
      <alignment horizontal="center" vertical="center"/>
    </xf>
    <xf numFmtId="0" fontId="7" fillId="0" borderId="89" xfId="1" applyNumberFormat="1" applyFont="1" applyFill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>
      <alignment horizontal="center" vertical="center"/>
    </xf>
    <xf numFmtId="0" fontId="5" fillId="0" borderId="89" xfId="0" applyNumberFormat="1" applyFont="1" applyFill="1" applyBorder="1" applyAlignment="1" applyProtection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2" fillId="0" borderId="89" xfId="1" applyNumberFormat="1" applyFont="1" applyFill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horizontal="center" vertical="center"/>
      <protection locked="0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12" fillId="0" borderId="53" xfId="1" applyNumberFormat="1" applyFont="1" applyFill="1" applyBorder="1" applyAlignment="1">
      <alignment horizontal="center" vertical="center"/>
    </xf>
    <xf numFmtId="0" fontId="7" fillId="0" borderId="52" xfId="1" applyNumberFormat="1" applyFont="1" applyFill="1" applyBorder="1" applyAlignment="1" applyProtection="1">
      <alignment horizontal="center" vertical="center"/>
      <protection locked="0"/>
    </xf>
    <xf numFmtId="0" fontId="7" fillId="0" borderId="53" xfId="1" applyNumberFormat="1" applyFont="1" applyFill="1" applyBorder="1" applyAlignment="1" applyProtection="1">
      <alignment horizontal="center" vertical="center"/>
      <protection locked="0"/>
    </xf>
    <xf numFmtId="0" fontId="12" fillId="0" borderId="53" xfId="1" applyNumberFormat="1" applyFont="1" applyFill="1" applyBorder="1" applyAlignment="1" applyProtection="1">
      <alignment horizontal="center" vertical="center"/>
      <protection locked="0"/>
    </xf>
    <xf numFmtId="0" fontId="7" fillId="0" borderId="53" xfId="1" applyNumberFormat="1" applyFont="1" applyFill="1" applyBorder="1" applyAlignment="1">
      <alignment horizontal="center" vertical="center"/>
    </xf>
    <xf numFmtId="0" fontId="12" fillId="0" borderId="55" xfId="1" applyNumberFormat="1" applyFont="1" applyFill="1" applyBorder="1" applyAlignment="1">
      <alignment horizontal="center" vertical="center"/>
    </xf>
    <xf numFmtId="0" fontId="7" fillId="0" borderId="55" xfId="1" applyNumberFormat="1" applyFont="1" applyFill="1" applyBorder="1" applyAlignment="1">
      <alignment horizontal="center" vertical="center"/>
    </xf>
    <xf numFmtId="0" fontId="7" fillId="0" borderId="57" xfId="1" applyNumberFormat="1" applyFont="1" applyFill="1" applyBorder="1" applyAlignment="1">
      <alignment horizontal="center" vertical="center"/>
    </xf>
    <xf numFmtId="0" fontId="7" fillId="0" borderId="57" xfId="1" applyNumberFormat="1" applyFont="1" applyFill="1" applyBorder="1" applyAlignment="1" applyProtection="1">
      <alignment horizontal="center" vertical="center"/>
      <protection locked="0"/>
    </xf>
    <xf numFmtId="0" fontId="7" fillId="0" borderId="58" xfId="1" applyNumberFormat="1" applyFont="1" applyFill="1" applyBorder="1" applyAlignment="1">
      <alignment horizontal="center" vertical="center"/>
    </xf>
    <xf numFmtId="0" fontId="12" fillId="0" borderId="53" xfId="1" applyFont="1" applyBorder="1" applyAlignment="1" applyProtection="1">
      <alignment horizontal="center" vertical="center"/>
      <protection locked="0"/>
    </xf>
    <xf numFmtId="177" fontId="45" fillId="0" borderId="89" xfId="1" applyNumberFormat="1" applyFont="1" applyFill="1" applyBorder="1" applyAlignment="1">
      <alignment vertical="center"/>
    </xf>
    <xf numFmtId="176" fontId="12" fillId="0" borderId="89" xfId="1" applyNumberFormat="1" applyFont="1" applyFill="1" applyBorder="1" applyAlignment="1">
      <alignment vertical="center"/>
    </xf>
    <xf numFmtId="0" fontId="12" fillId="0" borderId="89" xfId="1" applyNumberFormat="1" applyFont="1" applyFill="1" applyBorder="1" applyAlignment="1">
      <alignment vertical="center"/>
    </xf>
    <xf numFmtId="0" fontId="12" fillId="0" borderId="89" xfId="1" applyNumberFormat="1" applyFont="1" applyFill="1" applyBorder="1" applyAlignment="1" applyProtection="1">
      <alignment horizontal="left" vertical="center"/>
      <protection locked="0"/>
    </xf>
    <xf numFmtId="0" fontId="12" fillId="0" borderId="89" xfId="1" applyNumberFormat="1" applyFont="1" applyFill="1" applyBorder="1" applyAlignment="1">
      <alignment horizontal="left" vertical="center"/>
    </xf>
    <xf numFmtId="179" fontId="5" fillId="0" borderId="89" xfId="1" applyNumberFormat="1" applyFont="1" applyFill="1" applyBorder="1" applyAlignment="1">
      <alignment horizontal="center" vertical="center"/>
    </xf>
    <xf numFmtId="0" fontId="36" fillId="0" borderId="89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77" fontId="0" fillId="0" borderId="89" xfId="0" applyNumberFormat="1" applyBorder="1" applyAlignment="1">
      <alignment horizontal="center" vertical="center"/>
    </xf>
    <xf numFmtId="177" fontId="6" fillId="0" borderId="89" xfId="0" applyNumberFormat="1" applyFont="1" applyBorder="1" applyAlignment="1">
      <alignment horizontal="center" vertical="center"/>
    </xf>
    <xf numFmtId="0" fontId="0" fillId="0" borderId="89" xfId="0" applyBorder="1">
      <alignment vertical="center"/>
    </xf>
    <xf numFmtId="176" fontId="0" fillId="0" borderId="89" xfId="0" applyNumberFormat="1" applyBorder="1" applyAlignment="1">
      <alignment horizontal="center" vertical="center"/>
    </xf>
    <xf numFmtId="0" fontId="3" fillId="0" borderId="89" xfId="0" applyNumberFormat="1" applyFont="1" applyFill="1" applyBorder="1" applyAlignment="1" applyProtection="1">
      <alignment horizontal="center" vertical="center"/>
    </xf>
    <xf numFmtId="0" fontId="3" fillId="0" borderId="89" xfId="0" applyNumberFormat="1" applyFont="1" applyFill="1" applyBorder="1" applyAlignment="1" applyProtection="1">
      <alignment horizontal="center" vertical="center"/>
    </xf>
    <xf numFmtId="0" fontId="31" fillId="0" borderId="89" xfId="0" applyFont="1" applyBorder="1" applyAlignment="1">
      <alignment horizontal="center" vertical="center"/>
    </xf>
    <xf numFmtId="0" fontId="1" fillId="0" borderId="89" xfId="0" applyNumberFormat="1" applyFont="1" applyFill="1" applyBorder="1" applyAlignment="1" applyProtection="1">
      <alignment horizontal="left" vertical="center"/>
    </xf>
    <xf numFmtId="2" fontId="37" fillId="0" borderId="89" xfId="0" applyNumberFormat="1" applyFont="1" applyBorder="1" applyAlignment="1">
      <alignment horizontal="center" vertical="center"/>
    </xf>
    <xf numFmtId="180" fontId="37" fillId="0" borderId="89" xfId="0" applyNumberFormat="1" applyFont="1" applyBorder="1">
      <alignment vertical="center"/>
    </xf>
    <xf numFmtId="180" fontId="52" fillId="0" borderId="89" xfId="0" applyNumberFormat="1" applyFont="1" applyFill="1" applyBorder="1" applyAlignment="1" applyProtection="1">
      <alignment horizontal="center" vertical="center"/>
    </xf>
    <xf numFmtId="0" fontId="37" fillId="0" borderId="89" xfId="0" applyFont="1" applyBorder="1">
      <alignment vertical="center"/>
    </xf>
    <xf numFmtId="0" fontId="4" fillId="0" borderId="89" xfId="0" applyNumberFormat="1" applyFont="1" applyFill="1" applyBorder="1" applyAlignment="1" applyProtection="1">
      <alignment horizontal="center" vertical="center"/>
    </xf>
    <xf numFmtId="0" fontId="12" fillId="0" borderId="89" xfId="1" applyNumberFormat="1" applyFont="1" applyFill="1" applyBorder="1" applyAlignment="1">
      <alignment horizontal="center" vertical="center"/>
    </xf>
    <xf numFmtId="0" fontId="12" fillId="0" borderId="89" xfId="1" applyNumberFormat="1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2" fillId="0" borderId="89" xfId="1" applyNumberFormat="1" applyFont="1" applyFill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9" xfId="0" applyNumberForma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76" fontId="0" fillId="0" borderId="89" xfId="0" applyNumberFormat="1" applyBorder="1" applyAlignment="1">
      <alignment horizontal="center" vertical="center"/>
    </xf>
    <xf numFmtId="0" fontId="12" fillId="0" borderId="89" xfId="1" applyNumberFormat="1" applyFont="1" applyFill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3" fillId="0" borderId="89" xfId="0" applyNumberFormat="1" applyFont="1" applyFill="1" applyBorder="1" applyAlignment="1" applyProtection="1">
      <alignment horizontal="center" vertical="center"/>
    </xf>
    <xf numFmtId="0" fontId="0" fillId="0" borderId="89" xfId="0" applyBorder="1" applyAlignment="1">
      <alignment horizontal="left" vertical="center"/>
    </xf>
    <xf numFmtId="0" fontId="29" fillId="0" borderId="89" xfId="0" applyFont="1" applyBorder="1" applyAlignment="1">
      <alignment horizontal="center" vertical="center"/>
    </xf>
    <xf numFmtId="0" fontId="53" fillId="0" borderId="89" xfId="0" applyFont="1" applyBorder="1" applyAlignment="1">
      <alignment horizontal="center" vertical="center"/>
    </xf>
    <xf numFmtId="176" fontId="0" fillId="0" borderId="89" xfId="0" applyNumberFormat="1" applyBorder="1">
      <alignment vertical="center"/>
    </xf>
    <xf numFmtId="0" fontId="0" fillId="0" borderId="71" xfId="0" applyBorder="1">
      <alignment vertical="center"/>
    </xf>
    <xf numFmtId="0" fontId="12" fillId="0" borderId="89" xfId="1" applyNumberFormat="1" applyFont="1" applyFill="1" applyBorder="1" applyAlignment="1">
      <alignment horizontal="center" vertical="center"/>
    </xf>
    <xf numFmtId="0" fontId="5" fillId="0" borderId="89" xfId="0" applyNumberFormat="1" applyFont="1" applyFill="1" applyBorder="1" applyAlignment="1" applyProtection="1">
      <alignment horizontal="center" vertical="center"/>
      <protection locked="0"/>
    </xf>
    <xf numFmtId="0" fontId="0" fillId="0" borderId="89" xfId="0" applyFont="1" applyBorder="1" applyAlignment="1">
      <alignment horizontal="center" vertical="center"/>
    </xf>
    <xf numFmtId="0" fontId="54" fillId="0" borderId="89" xfId="0" applyNumberFormat="1" applyFont="1" applyFill="1" applyBorder="1" applyAlignment="1" applyProtection="1">
      <alignment horizontal="center" vertical="center"/>
    </xf>
    <xf numFmtId="0" fontId="55" fillId="0" borderId="89" xfId="0" applyNumberFormat="1" applyFont="1" applyFill="1" applyBorder="1" applyAlignment="1" applyProtection="1">
      <alignment horizontal="center" vertical="center"/>
      <protection locked="0"/>
    </xf>
    <xf numFmtId="177" fontId="6" fillId="0" borderId="103" xfId="0" applyNumberFormat="1" applyFont="1" applyBorder="1" applyAlignment="1">
      <alignment horizontal="center" vertical="center"/>
    </xf>
    <xf numFmtId="177" fontId="0" fillId="0" borderId="103" xfId="0" applyNumberForma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3" xfId="0" applyBorder="1">
      <alignment vertical="center"/>
    </xf>
    <xf numFmtId="0" fontId="0" fillId="0" borderId="100" xfId="0" applyBorder="1">
      <alignment vertical="center"/>
    </xf>
    <xf numFmtId="0" fontId="5" fillId="0" borderId="4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0" borderId="106" xfId="0" applyNumberFormat="1" applyFont="1" applyFill="1" applyBorder="1" applyAlignment="1" applyProtection="1">
      <alignment horizontal="center"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1" fillId="0" borderId="109" xfId="0" applyNumberFormat="1" applyFont="1" applyFill="1" applyBorder="1" applyAlignment="1" applyProtection="1">
      <alignment horizontal="center" vertical="center"/>
    </xf>
    <xf numFmtId="0" fontId="0" fillId="0" borderId="110" xfId="0" applyBorder="1">
      <alignment vertical="center"/>
    </xf>
    <xf numFmtId="0" fontId="12" fillId="0" borderId="89" xfId="1" applyNumberFormat="1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76" fontId="0" fillId="0" borderId="89" xfId="0" applyNumberFormat="1" applyBorder="1" applyAlignment="1">
      <alignment horizontal="center" vertical="center"/>
    </xf>
    <xf numFmtId="179" fontId="7" fillId="0" borderId="89" xfId="1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5" xfId="0" applyBorder="1">
      <alignment vertical="center"/>
    </xf>
    <xf numFmtId="0" fontId="4" fillId="0" borderId="111" xfId="0" applyNumberFormat="1" applyFont="1" applyFill="1" applyBorder="1" applyAlignment="1" applyProtection="1">
      <alignment horizontal="center" vertical="center"/>
    </xf>
    <xf numFmtId="0" fontId="5" fillId="0" borderId="111" xfId="0" applyNumberFormat="1" applyFont="1" applyFill="1" applyBorder="1" applyAlignment="1" applyProtection="1">
      <alignment horizontal="center" vertical="center"/>
      <protection locked="0"/>
    </xf>
    <xf numFmtId="0" fontId="4" fillId="0" borderId="11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7" borderId="1" xfId="0" applyNumberFormat="1" applyFont="1" applyFill="1" applyBorder="1" applyAlignment="1" applyProtection="1">
      <alignment horizontal="center"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56" fillId="0" borderId="0" xfId="0" applyFont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12" xfId="0" applyBorder="1" applyAlignment="1">
      <alignment horizontal="center" vertical="center"/>
    </xf>
    <xf numFmtId="0" fontId="53" fillId="0" borderId="69" xfId="0" applyFont="1" applyBorder="1" applyAlignment="1">
      <alignment horizontal="center" vertical="center"/>
    </xf>
    <xf numFmtId="0" fontId="61" fillId="0" borderId="106" xfId="0" applyNumberFormat="1" applyFont="1" applyFill="1" applyBorder="1" applyAlignment="1" applyProtection="1">
      <alignment horizontal="center" vertical="center"/>
    </xf>
    <xf numFmtId="0" fontId="62" fillId="0" borderId="106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" fillId="0" borderId="53" xfId="0" applyNumberFormat="1" applyFont="1" applyFill="1" applyBorder="1" applyAlignment="1" applyProtection="1">
      <alignment horizontal="left" vertical="center"/>
    </xf>
    <xf numFmtId="0" fontId="3" fillId="0" borderId="53" xfId="0" applyNumberFormat="1" applyFont="1" applyFill="1" applyBorder="1" applyAlignment="1" applyProtection="1">
      <alignment horizontal="left" vertical="center"/>
    </xf>
    <xf numFmtId="0" fontId="5" fillId="8" borderId="1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2" fillId="0" borderId="63" xfId="0" applyNumberFormat="1" applyFont="1" applyFill="1" applyBorder="1" applyAlignment="1" applyProtection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7" fillId="0" borderId="53" xfId="0" applyNumberFormat="1" applyFont="1" applyFill="1" applyBorder="1" applyAlignment="1" applyProtection="1">
      <alignment horizontal="center" vertical="center"/>
    </xf>
    <xf numFmtId="177" fontId="6" fillId="0" borderId="31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8" fontId="63" fillId="0" borderId="16" xfId="0" applyNumberFormat="1" applyFont="1" applyBorder="1" applyAlignment="1">
      <alignment vertical="center"/>
    </xf>
    <xf numFmtId="0" fontId="63" fillId="0" borderId="0" xfId="0" applyFont="1">
      <alignment vertical="center"/>
    </xf>
    <xf numFmtId="0" fontId="63" fillId="0" borderId="5" xfId="0" applyFont="1" applyBorder="1" applyAlignment="1">
      <alignment horizontal="center" vertical="center"/>
    </xf>
    <xf numFmtId="0" fontId="63" fillId="0" borderId="5" xfId="0" applyFont="1" applyBorder="1">
      <alignment vertical="center"/>
    </xf>
    <xf numFmtId="0" fontId="63" fillId="0" borderId="47" xfId="0" applyFont="1" applyBorder="1" applyAlignment="1">
      <alignment horizontal="center" vertical="center"/>
    </xf>
    <xf numFmtId="0" fontId="63" fillId="0" borderId="47" xfId="0" applyFont="1" applyBorder="1" applyAlignment="1">
      <alignment horizontal="left" vertical="center"/>
    </xf>
    <xf numFmtId="0" fontId="63" fillId="0" borderId="106" xfId="0" applyFont="1" applyBorder="1" applyAlignment="1">
      <alignment horizontal="center" vertical="center"/>
    </xf>
    <xf numFmtId="0" fontId="63" fillId="0" borderId="68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5" fillId="0" borderId="106" xfId="0" applyFont="1" applyBorder="1" applyAlignment="1">
      <alignment horizontal="center" vertical="center"/>
    </xf>
    <xf numFmtId="176" fontId="65" fillId="0" borderId="106" xfId="0" applyNumberFormat="1" applyFont="1" applyBorder="1" applyAlignment="1">
      <alignment horizontal="center" vertical="center"/>
    </xf>
    <xf numFmtId="0" fontId="66" fillId="0" borderId="106" xfId="0" applyFont="1" applyBorder="1" applyAlignment="1">
      <alignment horizontal="center" vertical="center"/>
    </xf>
    <xf numFmtId="0" fontId="64" fillId="0" borderId="106" xfId="0" applyFont="1" applyBorder="1" applyAlignment="1">
      <alignment horizontal="center" vertical="center"/>
    </xf>
    <xf numFmtId="0" fontId="64" fillId="0" borderId="106" xfId="0" applyFont="1" applyBorder="1">
      <alignment vertical="center"/>
    </xf>
    <xf numFmtId="0" fontId="65" fillId="0" borderId="114" xfId="0" applyFont="1" applyBorder="1" applyAlignment="1">
      <alignment horizontal="center" vertical="center"/>
    </xf>
    <xf numFmtId="0" fontId="64" fillId="0" borderId="10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0" borderId="112" xfId="0" applyFont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7" fontId="45" fillId="0" borderId="113" xfId="1" applyNumberFormat="1" applyFont="1" applyFill="1" applyBorder="1" applyAlignment="1" applyProtection="1">
      <alignment vertical="center"/>
      <protection locked="0"/>
    </xf>
    <xf numFmtId="177" fontId="45" fillId="0" borderId="112" xfId="1" applyNumberFormat="1" applyFont="1" applyFill="1" applyBorder="1" applyAlignment="1" applyProtection="1">
      <alignment vertical="center"/>
      <protection locked="0"/>
    </xf>
    <xf numFmtId="177" fontId="45" fillId="0" borderId="114" xfId="1" applyNumberFormat="1" applyFont="1" applyFill="1" applyBorder="1" applyAlignment="1" applyProtection="1">
      <alignment vertical="center"/>
      <protection locked="0"/>
    </xf>
    <xf numFmtId="0" fontId="0" fillId="0" borderId="89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9" borderId="89" xfId="0" applyFill="1" applyBorder="1" applyAlignment="1">
      <alignment horizontal="center" vertical="center"/>
    </xf>
    <xf numFmtId="0" fontId="0" fillId="10" borderId="89" xfId="0" applyFill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 wrapText="1"/>
    </xf>
    <xf numFmtId="0" fontId="68" fillId="0" borderId="0" xfId="0" applyFont="1">
      <alignment vertical="center"/>
    </xf>
    <xf numFmtId="0" fontId="69" fillId="0" borderId="116" xfId="0" applyFont="1" applyBorder="1" applyAlignment="1">
      <alignment horizontal="center" vertical="center" wrapText="1"/>
    </xf>
    <xf numFmtId="0" fontId="69" fillId="0" borderId="122" xfId="0" applyFont="1" applyBorder="1" applyAlignment="1">
      <alignment horizontal="center" vertical="center" wrapText="1"/>
    </xf>
    <xf numFmtId="0" fontId="70" fillId="0" borderId="122" xfId="0" applyFont="1" applyBorder="1" applyAlignment="1">
      <alignment horizontal="center" vertical="center" wrapText="1"/>
    </xf>
    <xf numFmtId="0" fontId="69" fillId="0" borderId="123" xfId="0" applyFont="1" applyBorder="1" applyAlignment="1">
      <alignment horizontal="center" vertical="center" wrapText="1"/>
    </xf>
    <xf numFmtId="0" fontId="71" fillId="0" borderId="123" xfId="0" applyFont="1" applyBorder="1" applyAlignment="1">
      <alignment horizontal="center" vertical="center" wrapText="1"/>
    </xf>
    <xf numFmtId="0" fontId="68" fillId="0" borderId="123" xfId="0" applyFont="1" applyBorder="1" applyAlignment="1">
      <alignment horizontal="center" vertical="center" wrapText="1"/>
    </xf>
    <xf numFmtId="0" fontId="63" fillId="0" borderId="1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11" borderId="36" xfId="0" applyFont="1" applyFill="1" applyBorder="1" applyAlignment="1">
      <alignment horizontal="center" vertical="center"/>
    </xf>
    <xf numFmtId="0" fontId="11" fillId="11" borderId="38" xfId="0" applyFont="1" applyFill="1" applyBorder="1" applyAlignment="1">
      <alignment horizontal="center" vertical="center"/>
    </xf>
    <xf numFmtId="0" fontId="11" fillId="11" borderId="35" xfId="0" applyFont="1" applyFill="1" applyBorder="1" applyAlignment="1">
      <alignment horizontal="center" vertical="center"/>
    </xf>
    <xf numFmtId="0" fontId="11" fillId="11" borderId="37" xfId="0" applyFont="1" applyFill="1" applyBorder="1" applyAlignment="1">
      <alignment horizontal="center" vertical="center"/>
    </xf>
    <xf numFmtId="0" fontId="11" fillId="10" borderId="33" xfId="0" applyFont="1" applyFill="1" applyBorder="1" applyAlignment="1">
      <alignment horizontal="center" vertical="center"/>
    </xf>
    <xf numFmtId="0" fontId="11" fillId="10" borderId="35" xfId="0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0" fontId="11" fillId="10" borderId="36" xfId="0" applyFont="1" applyFill="1" applyBorder="1" applyAlignment="1">
      <alignment horizontal="center" vertical="center"/>
    </xf>
    <xf numFmtId="0" fontId="63" fillId="0" borderId="68" xfId="0" applyFont="1" applyBorder="1" applyAlignment="1">
      <alignment vertical="center"/>
    </xf>
    <xf numFmtId="0" fontId="63" fillId="0" borderId="19" xfId="0" applyFont="1" applyBorder="1" applyAlignment="1">
      <alignment vertical="center"/>
    </xf>
    <xf numFmtId="0" fontId="73" fillId="0" borderId="5" xfId="0" applyFont="1" applyBorder="1" applyAlignment="1">
      <alignment horizontal="center" vertical="center"/>
    </xf>
    <xf numFmtId="0" fontId="73" fillId="0" borderId="47" xfId="0" applyFont="1" applyBorder="1" applyAlignment="1">
      <alignment horizontal="center" vertical="center"/>
    </xf>
    <xf numFmtId="0" fontId="73" fillId="0" borderId="53" xfId="0" applyFont="1" applyBorder="1" applyAlignment="1">
      <alignment horizontal="center" vertical="center"/>
    </xf>
    <xf numFmtId="0" fontId="73" fillId="0" borderId="106" xfId="0" applyFont="1" applyBorder="1" applyAlignment="1">
      <alignment horizontal="center" vertical="center"/>
    </xf>
    <xf numFmtId="0" fontId="74" fillId="0" borderId="123" xfId="0" applyFont="1" applyBorder="1" applyAlignment="1">
      <alignment horizontal="center" vertical="center" wrapText="1"/>
    </xf>
    <xf numFmtId="0" fontId="64" fillId="0" borderId="106" xfId="0" applyFont="1" applyBorder="1" applyAlignment="1">
      <alignment horizontal="center" vertical="center"/>
    </xf>
    <xf numFmtId="176" fontId="65" fillId="0" borderId="106" xfId="0" applyNumberFormat="1" applyFont="1" applyBorder="1" applyAlignment="1">
      <alignment horizontal="center" vertical="center"/>
    </xf>
    <xf numFmtId="0" fontId="65" fillId="0" borderId="106" xfId="0" applyFont="1" applyBorder="1" applyAlignment="1">
      <alignment horizontal="center" vertical="center"/>
    </xf>
    <xf numFmtId="0" fontId="65" fillId="0" borderId="113" xfId="0" applyFont="1" applyBorder="1" applyAlignment="1">
      <alignment horizontal="center" vertical="center"/>
    </xf>
    <xf numFmtId="0" fontId="65" fillId="0" borderId="112" xfId="0" applyFont="1" applyBorder="1" applyAlignment="1">
      <alignment horizontal="center" vertical="center"/>
    </xf>
    <xf numFmtId="0" fontId="68" fillId="0" borderId="122" xfId="0" applyFont="1" applyBorder="1" applyAlignment="1">
      <alignment horizontal="center" vertical="center" wrapText="1"/>
    </xf>
    <xf numFmtId="0" fontId="68" fillId="0" borderId="123" xfId="0" applyFont="1" applyBorder="1" applyAlignment="1">
      <alignment horizontal="center" vertical="center" wrapText="1"/>
    </xf>
    <xf numFmtId="0" fontId="69" fillId="0" borderId="120" xfId="0" applyFont="1" applyBorder="1" applyAlignment="1">
      <alignment horizontal="center" vertical="center" wrapText="1"/>
    </xf>
    <xf numFmtId="0" fontId="69" fillId="0" borderId="115" xfId="0" applyFont="1" applyBorder="1" applyAlignment="1">
      <alignment horizontal="center" vertical="center" wrapText="1"/>
    </xf>
    <xf numFmtId="0" fontId="69" fillId="0" borderId="121" xfId="0" applyFont="1" applyBorder="1" applyAlignment="1">
      <alignment horizontal="center" vertical="center" wrapText="1"/>
    </xf>
    <xf numFmtId="0" fontId="67" fillId="0" borderId="115" xfId="0" applyFont="1" applyBorder="1" applyAlignment="1">
      <alignment horizontal="center" vertical="center" wrapText="1"/>
    </xf>
    <xf numFmtId="0" fontId="69" fillId="0" borderId="117" xfId="0" applyFont="1" applyBorder="1" applyAlignment="1">
      <alignment horizontal="center" vertical="center" wrapText="1"/>
    </xf>
    <xf numFmtId="0" fontId="69" fillId="0" borderId="118" xfId="0" applyFont="1" applyBorder="1" applyAlignment="1">
      <alignment horizontal="center" vertical="center" wrapText="1"/>
    </xf>
    <xf numFmtId="0" fontId="69" fillId="0" borderId="119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7" fillId="0" borderId="106" xfId="0" applyNumberFormat="1" applyFont="1" applyFill="1" applyBorder="1" applyAlignment="1" applyProtection="1">
      <alignment horizontal="center" vertical="center"/>
    </xf>
    <xf numFmtId="0" fontId="57" fillId="0" borderId="113" xfId="0" applyNumberFormat="1" applyFont="1" applyFill="1" applyBorder="1" applyAlignment="1" applyProtection="1">
      <alignment horizontal="center" vertical="center"/>
    </xf>
    <xf numFmtId="0" fontId="57" fillId="0" borderId="112" xfId="0" applyNumberFormat="1" applyFont="1" applyFill="1" applyBorder="1" applyAlignment="1" applyProtection="1">
      <alignment horizontal="center" vertical="center"/>
    </xf>
    <xf numFmtId="0" fontId="57" fillId="0" borderId="114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5" xfId="0" applyFont="1" applyBorder="1" applyAlignment="1">
      <alignment horizontal="left" vertical="center"/>
    </xf>
    <xf numFmtId="0" fontId="63" fillId="0" borderId="18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 vertical="center" wrapText="1"/>
    </xf>
    <xf numFmtId="0" fontId="63" fillId="0" borderId="46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center" wrapText="1"/>
    </xf>
    <xf numFmtId="0" fontId="63" fillId="0" borderId="68" xfId="0" applyFont="1" applyBorder="1" applyAlignment="1">
      <alignment horizontal="center" vertical="center"/>
    </xf>
    <xf numFmtId="0" fontId="63" fillId="0" borderId="19" xfId="0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63" fillId="0" borderId="54" xfId="0" applyFont="1" applyBorder="1" applyAlignment="1">
      <alignment horizontal="center" vertical="center"/>
    </xf>
    <xf numFmtId="0" fontId="63" fillId="0" borderId="6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12" fillId="0" borderId="94" xfId="1" applyFont="1" applyBorder="1" applyAlignment="1" applyProtection="1">
      <alignment horizontal="center" vertical="center"/>
      <protection locked="0"/>
    </xf>
    <xf numFmtId="0" fontId="12" fillId="0" borderId="95" xfId="1" applyFont="1" applyBorder="1" applyAlignment="1" applyProtection="1">
      <alignment horizontal="center" vertical="center"/>
      <protection locked="0"/>
    </xf>
    <xf numFmtId="0" fontId="12" fillId="0" borderId="97" xfId="1" applyFont="1" applyBorder="1" applyAlignment="1" applyProtection="1">
      <alignment horizontal="center" vertical="center"/>
      <protection locked="0"/>
    </xf>
    <xf numFmtId="0" fontId="12" fillId="0" borderId="94" xfId="1" applyNumberFormat="1" applyFont="1" applyFill="1" applyBorder="1" applyAlignment="1">
      <alignment horizontal="center" vertical="center"/>
    </xf>
    <xf numFmtId="0" fontId="12" fillId="0" borderId="95" xfId="1" applyNumberFormat="1" applyFont="1" applyFill="1" applyBorder="1" applyAlignment="1">
      <alignment horizontal="center" vertical="center"/>
    </xf>
    <xf numFmtId="0" fontId="12" fillId="0" borderId="97" xfId="1" applyNumberFormat="1" applyFont="1" applyFill="1" applyBorder="1" applyAlignment="1">
      <alignment horizontal="center" vertical="center"/>
    </xf>
    <xf numFmtId="0" fontId="7" fillId="0" borderId="89" xfId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 applyProtection="1">
      <alignment horizontal="center" vertical="center"/>
      <protection locked="0"/>
    </xf>
    <xf numFmtId="0" fontId="12" fillId="0" borderId="89" xfId="1" applyNumberFormat="1" applyFont="1" applyFill="1" applyBorder="1" applyAlignment="1">
      <alignment horizontal="center" vertical="center"/>
    </xf>
    <xf numFmtId="0" fontId="12" fillId="0" borderId="53" xfId="1" applyNumberFormat="1" applyFont="1" applyFill="1" applyBorder="1" applyAlignment="1">
      <alignment horizontal="center" vertical="center"/>
    </xf>
    <xf numFmtId="0" fontId="12" fillId="0" borderId="55" xfId="1" applyNumberFormat="1" applyFont="1" applyFill="1" applyBorder="1" applyAlignment="1">
      <alignment horizontal="center" vertical="center"/>
    </xf>
    <xf numFmtId="0" fontId="12" fillId="0" borderId="45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7" fillId="0" borderId="52" xfId="1" applyBorder="1" applyAlignment="1" applyProtection="1">
      <alignment horizontal="center" vertical="center"/>
      <protection locked="0"/>
    </xf>
    <xf numFmtId="0" fontId="7" fillId="0" borderId="53" xfId="1" applyBorder="1" applyAlignment="1" applyProtection="1">
      <alignment horizontal="center" vertical="center"/>
      <protection locked="0"/>
    </xf>
    <xf numFmtId="0" fontId="12" fillId="0" borderId="53" xfId="1" applyNumberFormat="1" applyFont="1" applyFill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center" vertical="center"/>
      <protection locked="0"/>
    </xf>
    <xf numFmtId="0" fontId="12" fillId="0" borderId="89" xfId="1" applyFont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76" fontId="0" fillId="0" borderId="89" xfId="0" applyNumberFormat="1" applyBorder="1" applyAlignment="1">
      <alignment horizontal="center" vertical="center"/>
    </xf>
    <xf numFmtId="0" fontId="3" fillId="0" borderId="89" xfId="0" applyNumberFormat="1" applyFont="1" applyFill="1" applyBorder="1" applyAlignment="1" applyProtection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176" fontId="0" fillId="0" borderId="104" xfId="0" applyNumberFormat="1" applyBorder="1" applyAlignment="1">
      <alignment horizontal="center" vertical="center"/>
    </xf>
    <xf numFmtId="176" fontId="0" fillId="0" borderId="102" xfId="0" applyNumberForma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53" xfId="0" applyFont="1" applyFill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49" fillId="0" borderId="89" xfId="0" applyFont="1" applyBorder="1" applyAlignment="1">
      <alignment horizontal="center" vertical="center"/>
    </xf>
    <xf numFmtId="0" fontId="49" fillId="0" borderId="90" xfId="0" applyFont="1" applyBorder="1" applyAlignment="1">
      <alignment horizontal="center" vertical="center"/>
    </xf>
    <xf numFmtId="0" fontId="49" fillId="0" borderId="88" xfId="0" applyFont="1" applyBorder="1" applyAlignment="1">
      <alignment horizontal="center" vertical="center"/>
    </xf>
    <xf numFmtId="0" fontId="49" fillId="0" borderId="31" xfId="0" applyFont="1" applyBorder="1" applyAlignment="1">
      <alignment horizontal="left" vertical="center"/>
    </xf>
    <xf numFmtId="0" fontId="50" fillId="0" borderId="89" xfId="0" applyFont="1" applyBorder="1" applyAlignment="1">
      <alignment horizontal="center" vertical="center"/>
    </xf>
    <xf numFmtId="0" fontId="50" fillId="0" borderId="90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5" fillId="0" borderId="0" xfId="0" applyFont="1">
      <alignment vertical="center"/>
    </xf>
    <xf numFmtId="0" fontId="76" fillId="0" borderId="53" xfId="0" applyNumberFormat="1" applyFont="1" applyFill="1" applyBorder="1" applyAlignment="1" applyProtection="1">
      <alignment horizontal="center" vertical="center"/>
    </xf>
    <xf numFmtId="0" fontId="3" fillId="0" borderId="106" xfId="0" applyNumberFormat="1" applyFont="1" applyFill="1" applyBorder="1" applyAlignment="1" applyProtection="1">
      <alignment horizontal="center" vertical="center"/>
    </xf>
    <xf numFmtId="0" fontId="1" fillId="12" borderId="5" xfId="0" applyNumberFormat="1" applyFont="1" applyFill="1" applyBorder="1" applyAlignment="1" applyProtection="1">
      <alignment horizontal="center" vertical="center"/>
    </xf>
    <xf numFmtId="0" fontId="1" fillId="7" borderId="5" xfId="0" applyNumberFormat="1" applyFont="1" applyFill="1" applyBorder="1" applyAlignment="1" applyProtection="1">
      <alignment horizontal="center" vertical="center"/>
    </xf>
    <xf numFmtId="0" fontId="1" fillId="13" borderId="5" xfId="0" applyNumberFormat="1" applyFont="1" applyFill="1" applyBorder="1" applyAlignment="1" applyProtection="1">
      <alignment horizontal="center" vertical="center"/>
    </xf>
  </cellXfs>
  <cellStyles count="7">
    <cellStyle name="一般" xfId="0" builtinId="0"/>
    <cellStyle name="一般 2" xfId="1" xr:uid="{00000000-0005-0000-0000-000001000000}"/>
    <cellStyle name="一般 2 2" xfId="2" xr:uid="{00000000-0005-0000-0000-000002000000}"/>
    <cellStyle name="一般 2_成績記錄 (1)" xfId="3" xr:uid="{00000000-0005-0000-0000-000003000000}"/>
    <cellStyle name="一般 3" xfId="4" xr:uid="{00000000-0005-0000-0000-000004000000}"/>
    <cellStyle name="好_成績記錄 (1)" xfId="5" xr:uid="{00000000-0005-0000-0000-000005000000}"/>
    <cellStyle name="壞_成績記錄 (1)" xfId="6" xr:uid="{00000000-0005-0000-0000-000006000000}"/>
  </cellStyles>
  <dxfs count="0"/>
  <tableStyles count="0" defaultTableStyle="TableStyleMedium2" defaultPivotStyle="PivotStyleLight16"/>
  <colors>
    <mruColors>
      <color rgb="FF99FF99"/>
      <color rgb="FF5DFB25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workbookViewId="0">
      <selection activeCell="F16" sqref="F16"/>
    </sheetView>
  </sheetViews>
  <sheetFormatPr defaultRowHeight="16.5"/>
  <cols>
    <col min="1" max="1" width="11.25" style="367" customWidth="1"/>
    <col min="2" max="4" width="10.375" style="367" customWidth="1"/>
    <col min="5" max="5" width="19.125" style="367" customWidth="1"/>
    <col min="6" max="7" width="9.75" style="367" customWidth="1"/>
    <col min="8" max="8" width="15" customWidth="1"/>
  </cols>
  <sheetData>
    <row r="1" spans="1:10" ht="32.25" customHeight="1">
      <c r="A1" s="432" t="s">
        <v>967</v>
      </c>
      <c r="B1" s="432"/>
      <c r="C1" s="432"/>
      <c r="D1" s="432"/>
      <c r="E1" s="432"/>
      <c r="F1" s="432"/>
      <c r="G1" s="432"/>
      <c r="H1" s="432"/>
      <c r="I1" s="78"/>
      <c r="J1" s="78"/>
    </row>
    <row r="2" spans="1:10" ht="32.25" customHeight="1">
      <c r="A2" s="371" t="s">
        <v>968</v>
      </c>
      <c r="B2" s="371" t="s">
        <v>969</v>
      </c>
      <c r="C2" s="371" t="s">
        <v>972</v>
      </c>
      <c r="D2" s="371" t="s">
        <v>970</v>
      </c>
      <c r="E2" s="371" t="s">
        <v>971</v>
      </c>
      <c r="F2" s="371" t="s">
        <v>972</v>
      </c>
      <c r="G2" s="371" t="s">
        <v>970</v>
      </c>
      <c r="H2" s="371" t="s">
        <v>974</v>
      </c>
      <c r="I2" s="78"/>
      <c r="J2" s="78"/>
    </row>
    <row r="3" spans="1:10" ht="32.25" customHeight="1">
      <c r="A3" s="372">
        <v>44076</v>
      </c>
      <c r="B3" s="373" t="s">
        <v>973</v>
      </c>
      <c r="C3" s="373">
        <v>300</v>
      </c>
      <c r="D3" s="373">
        <f>C3*26</f>
        <v>7800</v>
      </c>
      <c r="E3" s="434"/>
      <c r="F3" s="434"/>
      <c r="G3" s="434"/>
      <c r="H3" s="434"/>
      <c r="I3" s="78"/>
      <c r="J3" s="78"/>
    </row>
    <row r="4" spans="1:10" ht="32.25" customHeight="1">
      <c r="A4" s="433">
        <v>44077</v>
      </c>
      <c r="B4" s="434"/>
      <c r="C4" s="434"/>
      <c r="D4" s="434"/>
      <c r="E4" s="374" t="s">
        <v>979</v>
      </c>
      <c r="F4" s="374">
        <v>45</v>
      </c>
      <c r="G4" s="374">
        <f>F4*26</f>
        <v>1170</v>
      </c>
      <c r="H4" s="375">
        <f>D3-G4</f>
        <v>6630</v>
      </c>
      <c r="I4" s="78"/>
      <c r="J4" s="78"/>
    </row>
    <row r="5" spans="1:10" s="78" customFormat="1" ht="32.25" customHeight="1">
      <c r="A5" s="433"/>
      <c r="B5" s="434"/>
      <c r="C5" s="434"/>
      <c r="D5" s="434"/>
      <c r="E5" s="377" t="s">
        <v>980</v>
      </c>
      <c r="F5" s="377">
        <v>35</v>
      </c>
      <c r="G5" s="377">
        <f>F5*26</f>
        <v>910</v>
      </c>
      <c r="H5" s="375" t="e">
        <f>#REF!-G5</f>
        <v>#REF!</v>
      </c>
    </row>
    <row r="6" spans="1:10" ht="32.25" customHeight="1">
      <c r="A6" s="433"/>
      <c r="B6" s="434"/>
      <c r="C6" s="434"/>
      <c r="D6" s="434"/>
      <c r="E6" s="374" t="s">
        <v>954</v>
      </c>
      <c r="F6" s="374">
        <v>35</v>
      </c>
      <c r="G6" s="374">
        <f>F6*26</f>
        <v>910</v>
      </c>
      <c r="H6" s="375" t="e">
        <f>H5-G6</f>
        <v>#REF!</v>
      </c>
      <c r="I6" s="78"/>
      <c r="J6" s="78"/>
    </row>
    <row r="7" spans="1:10" ht="32.25" customHeight="1">
      <c r="A7" s="433"/>
      <c r="B7" s="434"/>
      <c r="C7" s="434"/>
      <c r="D7" s="434"/>
      <c r="E7" s="374" t="s">
        <v>955</v>
      </c>
      <c r="F7" s="374">
        <v>45</v>
      </c>
      <c r="G7" s="374">
        <f>F7*26</f>
        <v>1170</v>
      </c>
      <c r="H7" s="375" t="e">
        <f>H6-G7</f>
        <v>#REF!</v>
      </c>
      <c r="I7" s="78"/>
      <c r="J7" s="78"/>
    </row>
    <row r="8" spans="1:10" ht="32.25" customHeight="1">
      <c r="A8" s="435" t="s">
        <v>975</v>
      </c>
      <c r="B8" s="436"/>
      <c r="C8" s="436"/>
      <c r="D8" s="436"/>
      <c r="E8" s="379" t="e">
        <f>H7</f>
        <v>#REF!</v>
      </c>
      <c r="F8" s="379"/>
      <c r="G8" s="379"/>
      <c r="H8" s="376" t="s">
        <v>976</v>
      </c>
      <c r="I8" s="78"/>
      <c r="J8" s="78"/>
    </row>
    <row r="9" spans="1:10">
      <c r="H9" s="78"/>
      <c r="I9" s="78"/>
      <c r="J9" s="78"/>
    </row>
    <row r="10" spans="1:10">
      <c r="H10" s="78"/>
      <c r="I10" s="78"/>
      <c r="J10" s="78"/>
    </row>
    <row r="11" spans="1:10">
      <c r="H11" s="78"/>
      <c r="I11" s="78"/>
      <c r="J11" s="78"/>
    </row>
    <row r="12" spans="1:10">
      <c r="H12" s="78"/>
      <c r="I12" s="78"/>
      <c r="J12" s="78"/>
    </row>
    <row r="21" spans="13:15">
      <c r="M21" s="79"/>
    </row>
    <row r="23" spans="13:15">
      <c r="O23" s="78"/>
    </row>
    <row r="24" spans="13:15">
      <c r="O24" s="78"/>
    </row>
    <row r="25" spans="13:15">
      <c r="O25" s="78"/>
    </row>
    <row r="26" spans="13:15">
      <c r="O26" s="78"/>
    </row>
  </sheetData>
  <mergeCells count="5">
    <mergeCell ref="A1:H1"/>
    <mergeCell ref="A4:A7"/>
    <mergeCell ref="B4:D7"/>
    <mergeCell ref="E3:H3"/>
    <mergeCell ref="A8:D8"/>
  </mergeCells>
  <phoneticPr fontId="2" type="noConversion"/>
  <pageMargins left="0.39370078740157483" right="0.19685039370078741" top="0.19685039370078741" bottom="0.19685039370078741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36"/>
  <sheetViews>
    <sheetView workbookViewId="0">
      <pane xSplit="3" ySplit="2" topLeftCell="D3" activePane="bottomRight" state="frozen"/>
      <selection pane="topRight" activeCell="G1" sqref="G1"/>
      <selection pane="bottomLeft" activeCell="A3" sqref="A3"/>
      <selection pane="bottomRight" activeCell="D24" sqref="D24"/>
    </sheetView>
  </sheetViews>
  <sheetFormatPr defaultRowHeight="16.5"/>
  <cols>
    <col min="1" max="1" width="4.5" style="78" customWidth="1"/>
    <col min="2" max="2" width="7.625" style="78" customWidth="1"/>
    <col min="3" max="3" width="6.375" style="10" customWidth="1"/>
    <col min="4" max="33" width="3.875" style="10" customWidth="1"/>
    <col min="34" max="16384" width="9" style="78"/>
  </cols>
  <sheetData>
    <row r="1" spans="1:33" ht="96" customHeight="1">
      <c r="A1" s="479"/>
      <c r="B1" s="479"/>
      <c r="C1" s="479"/>
      <c r="D1" s="347" t="s">
        <v>914</v>
      </c>
      <c r="E1" s="347" t="s">
        <v>916</v>
      </c>
      <c r="F1" s="347" t="s">
        <v>917</v>
      </c>
      <c r="G1" s="347" t="s">
        <v>918</v>
      </c>
      <c r="H1" s="347" t="s">
        <v>919</v>
      </c>
      <c r="I1" s="347" t="s">
        <v>948</v>
      </c>
      <c r="J1" s="347" t="s">
        <v>964</v>
      </c>
      <c r="K1" s="347" t="s">
        <v>305</v>
      </c>
      <c r="L1" s="347" t="s">
        <v>977</v>
      </c>
      <c r="M1" s="347" t="s">
        <v>993</v>
      </c>
      <c r="N1" s="347" t="s">
        <v>305</v>
      </c>
      <c r="O1" s="347" t="s">
        <v>305</v>
      </c>
      <c r="P1" s="347" t="s">
        <v>305</v>
      </c>
      <c r="Q1" s="347" t="s">
        <v>305</v>
      </c>
      <c r="R1" s="347" t="s">
        <v>305</v>
      </c>
      <c r="S1" s="347" t="s">
        <v>305</v>
      </c>
      <c r="T1" s="347" t="s">
        <v>305</v>
      </c>
      <c r="U1" s="347" t="s">
        <v>305</v>
      </c>
      <c r="V1" s="347" t="s">
        <v>305</v>
      </c>
      <c r="W1" s="347" t="s">
        <v>305</v>
      </c>
      <c r="X1" s="347" t="s">
        <v>305</v>
      </c>
      <c r="Y1" s="347" t="s">
        <v>305</v>
      </c>
      <c r="Z1" s="347" t="s">
        <v>305</v>
      </c>
      <c r="AA1" s="347" t="s">
        <v>305</v>
      </c>
      <c r="AB1" s="347" t="s">
        <v>305</v>
      </c>
      <c r="AC1" s="347" t="s">
        <v>305</v>
      </c>
      <c r="AD1" s="347" t="s">
        <v>305</v>
      </c>
    </row>
    <row r="2" spans="1:33" ht="33">
      <c r="A2" s="348" t="s">
        <v>915</v>
      </c>
      <c r="B2" s="349" t="s">
        <v>0</v>
      </c>
      <c r="C2" s="139" t="s">
        <v>376</v>
      </c>
      <c r="D2" s="143" t="s">
        <v>913</v>
      </c>
      <c r="E2" s="143" t="s">
        <v>913</v>
      </c>
      <c r="F2" s="143" t="s">
        <v>443</v>
      </c>
      <c r="G2" s="143" t="s">
        <v>443</v>
      </c>
      <c r="H2" s="143" t="s">
        <v>443</v>
      </c>
      <c r="I2" s="143" t="s">
        <v>305</v>
      </c>
      <c r="J2" s="143" t="s">
        <v>305</v>
      </c>
      <c r="K2" s="143" t="s">
        <v>305</v>
      </c>
      <c r="L2" s="143" t="s">
        <v>305</v>
      </c>
      <c r="M2" s="347" t="s">
        <v>992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6"/>
      <c r="AG2" s="136"/>
    </row>
    <row r="3" spans="1:33">
      <c r="B3" s="307"/>
      <c r="C3" s="346"/>
      <c r="D3" s="307">
        <v>31</v>
      </c>
      <c r="E3" s="307">
        <v>31</v>
      </c>
      <c r="F3" s="307">
        <v>31</v>
      </c>
      <c r="G3" s="307">
        <v>31</v>
      </c>
      <c r="H3" s="307">
        <v>31</v>
      </c>
      <c r="I3" s="307">
        <v>4</v>
      </c>
      <c r="J3" s="307">
        <v>11</v>
      </c>
      <c r="K3" s="307"/>
      <c r="L3" s="307">
        <v>17</v>
      </c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136"/>
      <c r="AG3" s="136"/>
    </row>
    <row r="4" spans="1:33">
      <c r="A4" s="145">
        <v>1</v>
      </c>
      <c r="B4" s="135" t="str">
        <f>VLOOKUP(A4,紀錄表!$A$3:$B$28,2,0)</f>
        <v>陳威劭</v>
      </c>
      <c r="C4" s="140">
        <f>COUNTIF(D4:AG4,"1")</f>
        <v>4</v>
      </c>
      <c r="D4" s="135"/>
      <c r="E4" s="135"/>
      <c r="F4" s="135"/>
      <c r="G4" s="135"/>
      <c r="H4" s="135"/>
      <c r="I4" s="135">
        <v>1</v>
      </c>
      <c r="J4" s="135">
        <v>1</v>
      </c>
      <c r="K4" s="135"/>
      <c r="L4" s="135">
        <v>1</v>
      </c>
      <c r="M4" s="135">
        <v>1</v>
      </c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6"/>
      <c r="AG4" s="136"/>
    </row>
    <row r="5" spans="1:33">
      <c r="A5" s="145">
        <v>2</v>
      </c>
      <c r="B5" s="135" t="str">
        <f>VLOOKUP(A5,紀錄表!$A$3:$B$28,2,0)</f>
        <v>周宗慶</v>
      </c>
      <c r="C5" s="141">
        <f t="shared" ref="C5:C29" si="0">COUNTIF(D5:J5,"1")</f>
        <v>2</v>
      </c>
      <c r="D5" s="135"/>
      <c r="E5" s="135"/>
      <c r="F5" s="135"/>
      <c r="G5" s="135"/>
      <c r="H5" s="135"/>
      <c r="I5" s="135">
        <v>1</v>
      </c>
      <c r="J5" s="135">
        <v>1</v>
      </c>
      <c r="K5" s="135"/>
      <c r="L5" s="135">
        <v>1</v>
      </c>
      <c r="M5" s="135">
        <v>1</v>
      </c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7"/>
      <c r="AG5" s="137"/>
    </row>
    <row r="6" spans="1:33">
      <c r="A6" s="145">
        <v>3</v>
      </c>
      <c r="B6" s="135" t="str">
        <f>VLOOKUP(A6,紀錄表!$A$3:$B$28,2,0)</f>
        <v>林昱任</v>
      </c>
      <c r="C6" s="141">
        <f t="shared" si="0"/>
        <v>2</v>
      </c>
      <c r="D6" s="135"/>
      <c r="E6" s="135"/>
      <c r="F6" s="135"/>
      <c r="G6" s="135"/>
      <c r="H6" s="135"/>
      <c r="I6" s="135">
        <v>1</v>
      </c>
      <c r="J6" s="135">
        <v>1</v>
      </c>
      <c r="K6" s="135"/>
      <c r="L6" s="135">
        <v>1</v>
      </c>
      <c r="M6" s="135">
        <v>1</v>
      </c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6"/>
      <c r="AG6" s="136"/>
    </row>
    <row r="7" spans="1:33">
      <c r="A7" s="145">
        <v>4</v>
      </c>
      <c r="B7" s="135" t="str">
        <f>VLOOKUP(A7,紀錄表!$A$3:$B$28,2,0)</f>
        <v>李奎煜</v>
      </c>
      <c r="C7" s="141">
        <f t="shared" si="0"/>
        <v>2</v>
      </c>
      <c r="D7" s="135"/>
      <c r="E7" s="135"/>
      <c r="F7" s="135"/>
      <c r="G7" s="135"/>
      <c r="H7" s="135">
        <v>1</v>
      </c>
      <c r="I7" s="135">
        <v>1</v>
      </c>
      <c r="J7" s="135">
        <v>0</v>
      </c>
      <c r="K7" s="135"/>
      <c r="L7" s="135">
        <v>1</v>
      </c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6"/>
      <c r="AG7" s="136"/>
    </row>
    <row r="8" spans="1:33">
      <c r="A8" s="145">
        <v>5</v>
      </c>
      <c r="B8" s="135" t="str">
        <f>VLOOKUP(A8,紀錄表!$A$3:$B$28,2,0)</f>
        <v>葉翃均</v>
      </c>
      <c r="C8" s="141">
        <f t="shared" si="0"/>
        <v>2</v>
      </c>
      <c r="D8" s="135"/>
      <c r="E8" s="135"/>
      <c r="F8" s="135">
        <v>1</v>
      </c>
      <c r="G8" s="135"/>
      <c r="H8" s="135"/>
      <c r="I8" s="135">
        <v>1</v>
      </c>
      <c r="J8" s="135"/>
      <c r="K8" s="135"/>
      <c r="L8" s="135">
        <v>1</v>
      </c>
      <c r="M8" s="135">
        <v>1</v>
      </c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6"/>
      <c r="AG8" s="136"/>
    </row>
    <row r="9" spans="1:33">
      <c r="A9" s="145">
        <v>6</v>
      </c>
      <c r="B9" s="135" t="str">
        <f>VLOOKUP(A9,紀錄表!$A$3:$B$28,2,0)</f>
        <v>王奕勳</v>
      </c>
      <c r="C9" s="141">
        <f t="shared" si="0"/>
        <v>2</v>
      </c>
      <c r="D9" s="135"/>
      <c r="E9" s="135"/>
      <c r="F9" s="135"/>
      <c r="G9" s="135"/>
      <c r="H9" s="135"/>
      <c r="I9" s="135">
        <v>1</v>
      </c>
      <c r="J9" s="135">
        <v>1</v>
      </c>
      <c r="K9" s="135"/>
      <c r="L9" s="135">
        <v>0</v>
      </c>
      <c r="M9" s="135">
        <v>1</v>
      </c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6"/>
      <c r="AG9" s="136"/>
    </row>
    <row r="10" spans="1:33">
      <c r="A10" s="145">
        <v>7</v>
      </c>
      <c r="B10" s="135" t="str">
        <f>VLOOKUP(A10,紀錄表!$A$3:$B$28,2,0)</f>
        <v>葉彥均</v>
      </c>
      <c r="C10" s="141">
        <f t="shared" si="0"/>
        <v>2</v>
      </c>
      <c r="D10" s="135"/>
      <c r="E10" s="135"/>
      <c r="F10" s="135"/>
      <c r="G10" s="135"/>
      <c r="H10" s="135"/>
      <c r="I10" s="135">
        <v>1</v>
      </c>
      <c r="J10" s="135">
        <v>1</v>
      </c>
      <c r="K10" s="135"/>
      <c r="L10" s="135">
        <v>1</v>
      </c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6"/>
      <c r="AG10" s="136"/>
    </row>
    <row r="11" spans="1:33">
      <c r="A11" s="145">
        <v>8</v>
      </c>
      <c r="B11" s="135" t="str">
        <f>VLOOKUP(A11,紀錄表!$A$3:$B$28,2,0)</f>
        <v>洪楷珅</v>
      </c>
      <c r="C11" s="141">
        <f t="shared" si="0"/>
        <v>1</v>
      </c>
      <c r="D11" s="135"/>
      <c r="E11" s="135"/>
      <c r="F11" s="135"/>
      <c r="G11" s="135"/>
      <c r="H11" s="135"/>
      <c r="I11" s="135">
        <v>1</v>
      </c>
      <c r="J11" s="135">
        <v>0</v>
      </c>
      <c r="K11" s="135"/>
      <c r="L11" s="135">
        <v>1</v>
      </c>
      <c r="M11" s="135">
        <v>1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6"/>
      <c r="AG11" s="136"/>
    </row>
    <row r="12" spans="1:33">
      <c r="A12" s="145">
        <v>9</v>
      </c>
      <c r="B12" s="135" t="str">
        <f>VLOOKUP(A12,紀錄表!$A$3:$B$28,2,0)</f>
        <v>吳承哲</v>
      </c>
      <c r="C12" s="141">
        <f t="shared" si="0"/>
        <v>5</v>
      </c>
      <c r="D12" s="135">
        <v>1</v>
      </c>
      <c r="E12" s="135">
        <v>1</v>
      </c>
      <c r="F12" s="135">
        <v>1</v>
      </c>
      <c r="G12" s="135">
        <v>1</v>
      </c>
      <c r="H12" s="135"/>
      <c r="I12" s="135">
        <v>1</v>
      </c>
      <c r="J12" s="135"/>
      <c r="K12" s="135"/>
      <c r="L12" s="135">
        <v>1</v>
      </c>
      <c r="M12" s="135">
        <v>1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6"/>
      <c r="AG12" s="136"/>
    </row>
    <row r="13" spans="1:33">
      <c r="A13" s="145">
        <v>10</v>
      </c>
      <c r="B13" s="135" t="str">
        <f>VLOOKUP(A13,紀錄表!$A$3:$B$28,2,0)</f>
        <v>李宥霆</v>
      </c>
      <c r="C13" s="141">
        <f t="shared" si="0"/>
        <v>1</v>
      </c>
      <c r="D13" s="135"/>
      <c r="E13" s="135"/>
      <c r="F13" s="135"/>
      <c r="G13" s="135"/>
      <c r="H13" s="135"/>
      <c r="I13" s="135">
        <v>1</v>
      </c>
      <c r="J13" s="135"/>
      <c r="K13" s="135"/>
      <c r="L13" s="135">
        <v>1</v>
      </c>
      <c r="M13" s="135">
        <v>1</v>
      </c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6"/>
      <c r="AG13" s="136"/>
    </row>
    <row r="14" spans="1:33">
      <c r="A14" s="145">
        <v>11</v>
      </c>
      <c r="B14" s="135" t="str">
        <f>VLOOKUP(A14,紀錄表!$A$3:$B$28,2,0)</f>
        <v>柯皓哲</v>
      </c>
      <c r="C14" s="141">
        <f t="shared" si="0"/>
        <v>2</v>
      </c>
      <c r="D14" s="135"/>
      <c r="E14" s="135"/>
      <c r="F14" s="135"/>
      <c r="G14" s="135"/>
      <c r="H14" s="135"/>
      <c r="I14" s="154">
        <v>1</v>
      </c>
      <c r="J14" s="135">
        <v>1</v>
      </c>
      <c r="K14" s="135"/>
      <c r="L14" s="135">
        <v>1</v>
      </c>
      <c r="M14" s="135">
        <v>1</v>
      </c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6"/>
      <c r="AG14" s="136"/>
    </row>
    <row r="15" spans="1:33">
      <c r="A15" s="145">
        <v>12</v>
      </c>
      <c r="B15" s="135" t="str">
        <f>VLOOKUP(A15,紀錄表!$A$3:$B$28,2,0)</f>
        <v>魏宇謙</v>
      </c>
      <c r="C15" s="141">
        <f t="shared" si="0"/>
        <v>2</v>
      </c>
      <c r="D15" s="135"/>
      <c r="E15" s="135"/>
      <c r="F15" s="135"/>
      <c r="G15" s="135"/>
      <c r="H15" s="135"/>
      <c r="I15" s="135">
        <v>1</v>
      </c>
      <c r="J15" s="135">
        <v>1</v>
      </c>
      <c r="K15" s="135"/>
      <c r="L15" s="135">
        <v>1</v>
      </c>
      <c r="M15" s="135">
        <v>1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6"/>
      <c r="AG15" s="136"/>
    </row>
    <row r="16" spans="1:33">
      <c r="A16" s="145">
        <v>13</v>
      </c>
      <c r="B16" s="135" t="str">
        <f>VLOOKUP(A16,紀錄表!$A$3:$B$28,2,0)</f>
        <v>林季曄</v>
      </c>
      <c r="C16" s="141">
        <f t="shared" si="0"/>
        <v>3</v>
      </c>
      <c r="D16" s="135"/>
      <c r="E16" s="135"/>
      <c r="F16" s="135"/>
      <c r="G16" s="135"/>
      <c r="H16" s="135">
        <v>1</v>
      </c>
      <c r="I16" s="135">
        <v>1</v>
      </c>
      <c r="J16" s="135">
        <v>1</v>
      </c>
      <c r="K16" s="135"/>
      <c r="L16" s="135">
        <v>1</v>
      </c>
      <c r="M16" s="135">
        <v>1</v>
      </c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6"/>
      <c r="AG16" s="136"/>
    </row>
    <row r="17" spans="1:33">
      <c r="A17" s="145">
        <v>14</v>
      </c>
      <c r="B17" s="135" t="str">
        <f>VLOOKUP(A17,紀錄表!$A$3:$B$28,2,0)</f>
        <v>高翊庭</v>
      </c>
      <c r="C17" s="141">
        <f t="shared" si="0"/>
        <v>2</v>
      </c>
      <c r="D17" s="135"/>
      <c r="E17" s="135"/>
      <c r="F17" s="135"/>
      <c r="G17" s="135"/>
      <c r="H17" s="135"/>
      <c r="I17" s="135">
        <v>1</v>
      </c>
      <c r="J17" s="135">
        <v>1</v>
      </c>
      <c r="K17" s="135"/>
      <c r="L17" s="135">
        <v>1</v>
      </c>
      <c r="M17" s="135">
        <v>1</v>
      </c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6"/>
      <c r="AG17" s="136"/>
    </row>
    <row r="18" spans="1:33">
      <c r="A18" s="145">
        <v>15</v>
      </c>
      <c r="B18" s="135" t="str">
        <f>VLOOKUP(A18,紀錄表!$A$3:$B$28,2,0)</f>
        <v>藍彩華</v>
      </c>
      <c r="C18" s="141">
        <f t="shared" si="0"/>
        <v>2</v>
      </c>
      <c r="D18" s="135"/>
      <c r="E18" s="135"/>
      <c r="F18" s="135"/>
      <c r="G18" s="135"/>
      <c r="H18" s="135"/>
      <c r="I18" s="135">
        <v>1</v>
      </c>
      <c r="J18" s="135">
        <v>1</v>
      </c>
      <c r="K18" s="135"/>
      <c r="L18" s="135">
        <v>0</v>
      </c>
      <c r="M18" s="135">
        <v>1</v>
      </c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6"/>
      <c r="AG18" s="136"/>
    </row>
    <row r="19" spans="1:33">
      <c r="A19" s="145">
        <v>16</v>
      </c>
      <c r="B19" s="135" t="str">
        <f>VLOOKUP(A19,紀錄表!$A$3:$B$28,2,0)</f>
        <v>曾琛晞</v>
      </c>
      <c r="C19" s="141">
        <f t="shared" si="0"/>
        <v>1</v>
      </c>
      <c r="D19" s="135"/>
      <c r="E19" s="135"/>
      <c r="F19" s="135"/>
      <c r="G19" s="135"/>
      <c r="H19" s="135"/>
      <c r="I19" s="135">
        <v>1</v>
      </c>
      <c r="J19" s="135"/>
      <c r="K19" s="135"/>
      <c r="L19" s="135">
        <v>1</v>
      </c>
      <c r="M19" s="135">
        <v>1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6"/>
      <c r="AG19" s="136"/>
    </row>
    <row r="20" spans="1:33">
      <c r="A20" s="145">
        <v>17</v>
      </c>
      <c r="B20" s="135" t="str">
        <f>VLOOKUP(A20,紀錄表!$A$3:$B$28,2,0)</f>
        <v>張智函</v>
      </c>
      <c r="C20" s="141">
        <f t="shared" si="0"/>
        <v>2</v>
      </c>
      <c r="D20" s="135"/>
      <c r="E20" s="135"/>
      <c r="F20" s="135"/>
      <c r="G20" s="135"/>
      <c r="H20" s="135"/>
      <c r="I20" s="135">
        <v>1</v>
      </c>
      <c r="J20" s="135">
        <v>1</v>
      </c>
      <c r="K20" s="135"/>
      <c r="L20" s="135">
        <v>0</v>
      </c>
      <c r="M20" s="135">
        <v>1</v>
      </c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6"/>
      <c r="AG20" s="136"/>
    </row>
    <row r="21" spans="1:33">
      <c r="A21" s="145">
        <v>18</v>
      </c>
      <c r="B21" s="135" t="str">
        <f>VLOOKUP(A21,紀錄表!$A$3:$B$28,2,0)</f>
        <v>許凌菲</v>
      </c>
      <c r="C21" s="141">
        <f t="shared" si="0"/>
        <v>3</v>
      </c>
      <c r="D21" s="135"/>
      <c r="E21" s="135"/>
      <c r="F21" s="135"/>
      <c r="G21" s="135">
        <v>1</v>
      </c>
      <c r="H21" s="135"/>
      <c r="I21" s="154">
        <v>1</v>
      </c>
      <c r="J21" s="135">
        <v>1</v>
      </c>
      <c r="K21" s="135"/>
      <c r="L21" s="135">
        <v>1</v>
      </c>
      <c r="M21" s="135">
        <v>1</v>
      </c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7"/>
      <c r="AG21" s="137"/>
    </row>
    <row r="22" spans="1:33">
      <c r="A22" s="145">
        <v>19</v>
      </c>
      <c r="B22" s="135" t="str">
        <f>VLOOKUP(A22,紀錄表!$A$3:$B$28,2,0)</f>
        <v>吳羽棠</v>
      </c>
      <c r="C22" s="141">
        <f t="shared" si="0"/>
        <v>3</v>
      </c>
      <c r="D22" s="135"/>
      <c r="E22" s="135"/>
      <c r="F22" s="135"/>
      <c r="G22" s="135">
        <v>1</v>
      </c>
      <c r="H22" s="135"/>
      <c r="I22" s="135">
        <v>1</v>
      </c>
      <c r="J22" s="135">
        <v>1</v>
      </c>
      <c r="K22" s="135"/>
      <c r="L22" s="135">
        <v>0</v>
      </c>
      <c r="M22" s="135">
        <v>1</v>
      </c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6"/>
      <c r="AG22" s="136"/>
    </row>
    <row r="23" spans="1:33">
      <c r="A23" s="145">
        <v>20</v>
      </c>
      <c r="B23" s="135" t="str">
        <f>VLOOKUP(A23,紀錄表!$A$3:$B$28,2,0)</f>
        <v>蔡羽媗</v>
      </c>
      <c r="C23" s="141">
        <f t="shared" si="0"/>
        <v>4</v>
      </c>
      <c r="D23" s="135"/>
      <c r="E23" s="135"/>
      <c r="F23" s="135"/>
      <c r="G23" s="135">
        <v>1</v>
      </c>
      <c r="H23" s="135">
        <v>1</v>
      </c>
      <c r="I23" s="135">
        <v>1</v>
      </c>
      <c r="J23" s="135">
        <v>1</v>
      </c>
      <c r="K23" s="135"/>
      <c r="L23" s="135">
        <v>1</v>
      </c>
      <c r="M23" s="135">
        <v>1</v>
      </c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6"/>
      <c r="AG23" s="136"/>
    </row>
    <row r="24" spans="1:33">
      <c r="A24" s="145">
        <v>21</v>
      </c>
      <c r="B24" s="135" t="str">
        <f>VLOOKUP(A24,紀錄表!$A$3:$B$28,2,0)</f>
        <v>楊筱歆</v>
      </c>
      <c r="C24" s="141">
        <f t="shared" si="0"/>
        <v>6</v>
      </c>
      <c r="D24" s="135">
        <v>1</v>
      </c>
      <c r="E24" s="135">
        <v>1</v>
      </c>
      <c r="F24" s="135">
        <v>1</v>
      </c>
      <c r="G24" s="135">
        <v>1</v>
      </c>
      <c r="H24" s="135"/>
      <c r="I24" s="135">
        <v>1</v>
      </c>
      <c r="J24" s="135">
        <v>1</v>
      </c>
      <c r="K24" s="135"/>
      <c r="L24" s="135">
        <v>1</v>
      </c>
      <c r="M24" s="135">
        <v>1</v>
      </c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136"/>
    </row>
    <row r="25" spans="1:33">
      <c r="A25" s="145">
        <v>22</v>
      </c>
      <c r="B25" s="135" t="str">
        <f>VLOOKUP(A25,紀錄表!$A$3:$B$28,2,0)</f>
        <v>邱詩涵</v>
      </c>
      <c r="C25" s="141">
        <f t="shared" si="0"/>
        <v>2</v>
      </c>
      <c r="D25" s="135"/>
      <c r="E25" s="135"/>
      <c r="F25" s="135"/>
      <c r="G25" s="135"/>
      <c r="H25" s="135"/>
      <c r="I25" s="135">
        <v>1</v>
      </c>
      <c r="J25" s="135">
        <v>1</v>
      </c>
      <c r="K25" s="135"/>
      <c r="L25" s="135">
        <v>1</v>
      </c>
      <c r="M25" s="135">
        <v>1</v>
      </c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7"/>
      <c r="AG25" s="137"/>
    </row>
    <row r="26" spans="1:33">
      <c r="A26" s="145">
        <v>23</v>
      </c>
      <c r="B26" s="135" t="str">
        <f>VLOOKUP(A26,紀錄表!$A$3:$B$28,2,0)</f>
        <v>張涵甯</v>
      </c>
      <c r="C26" s="141">
        <f t="shared" si="0"/>
        <v>2</v>
      </c>
      <c r="D26" s="135"/>
      <c r="E26" s="135"/>
      <c r="F26" s="135"/>
      <c r="G26" s="135"/>
      <c r="H26" s="135"/>
      <c r="I26" s="135">
        <v>1</v>
      </c>
      <c r="J26" s="135">
        <v>1</v>
      </c>
      <c r="K26" s="135"/>
      <c r="L26" s="135">
        <v>1</v>
      </c>
      <c r="M26" s="135">
        <v>1</v>
      </c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6"/>
      <c r="AG26" s="136"/>
    </row>
    <row r="27" spans="1:33">
      <c r="A27" s="145">
        <v>24</v>
      </c>
      <c r="B27" s="135" t="str">
        <f>VLOOKUP(A27,紀錄表!$A$3:$B$28,2,0)</f>
        <v>王姿涵</v>
      </c>
      <c r="C27" s="141">
        <f t="shared" si="0"/>
        <v>2</v>
      </c>
      <c r="D27" s="135"/>
      <c r="E27" s="135"/>
      <c r="F27" s="135"/>
      <c r="G27" s="135"/>
      <c r="H27" s="135"/>
      <c r="I27" s="135">
        <v>1</v>
      </c>
      <c r="J27" s="135">
        <v>1</v>
      </c>
      <c r="K27" s="135"/>
      <c r="L27" s="135">
        <v>1</v>
      </c>
      <c r="M27" s="135">
        <v>1</v>
      </c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7"/>
      <c r="AG27" s="137"/>
    </row>
    <row r="28" spans="1:33">
      <c r="A28" s="145">
        <v>25</v>
      </c>
      <c r="B28" s="135" t="str">
        <f>VLOOKUP(A28,紀錄表!$A$3:$B$28,2,0)</f>
        <v>林昱萱</v>
      </c>
      <c r="C28" s="141">
        <f t="shared" si="0"/>
        <v>2</v>
      </c>
      <c r="D28" s="135"/>
      <c r="E28" s="135"/>
      <c r="F28" s="135"/>
      <c r="G28" s="135"/>
      <c r="H28" s="135"/>
      <c r="I28" s="135">
        <v>1</v>
      </c>
      <c r="J28" s="135">
        <v>1</v>
      </c>
      <c r="K28" s="135"/>
      <c r="L28" s="135">
        <v>1</v>
      </c>
      <c r="M28" s="135">
        <v>1</v>
      </c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6"/>
      <c r="AG28" s="136"/>
    </row>
    <row r="29" spans="1:33">
      <c r="A29" s="145">
        <v>26</v>
      </c>
      <c r="B29" s="135" t="str">
        <f>VLOOKUP(A29,紀錄表!$A$3:$B$28,2,0)</f>
        <v>李文</v>
      </c>
      <c r="C29" s="141">
        <f t="shared" si="0"/>
        <v>6</v>
      </c>
      <c r="D29" s="135">
        <v>1</v>
      </c>
      <c r="E29" s="135">
        <v>1</v>
      </c>
      <c r="F29" s="135">
        <v>1</v>
      </c>
      <c r="G29" s="135">
        <v>1</v>
      </c>
      <c r="H29" s="135">
        <v>1</v>
      </c>
      <c r="I29" s="135">
        <v>1</v>
      </c>
      <c r="J29" s="135">
        <v>0</v>
      </c>
      <c r="K29" s="135"/>
      <c r="L29" s="135">
        <v>1</v>
      </c>
      <c r="M29" s="135">
        <v>1</v>
      </c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6"/>
      <c r="AG29" s="136"/>
    </row>
    <row r="30" spans="1:33">
      <c r="D30" s="10">
        <f>SUM(D4:D29)</f>
        <v>3</v>
      </c>
      <c r="E30" s="145">
        <f t="shared" ref="E30:AE30" si="1">SUM(E4:E29)</f>
        <v>3</v>
      </c>
      <c r="F30" s="145">
        <f t="shared" si="1"/>
        <v>4</v>
      </c>
      <c r="G30" s="145">
        <f t="shared" si="1"/>
        <v>6</v>
      </c>
      <c r="H30" s="145">
        <f t="shared" si="1"/>
        <v>4</v>
      </c>
      <c r="I30" s="145">
        <f t="shared" si="1"/>
        <v>26</v>
      </c>
      <c r="J30" s="145">
        <f t="shared" si="1"/>
        <v>19</v>
      </c>
      <c r="K30" s="145">
        <f t="shared" si="1"/>
        <v>0</v>
      </c>
      <c r="L30" s="145">
        <f t="shared" si="1"/>
        <v>22</v>
      </c>
      <c r="M30" s="145">
        <f t="shared" si="1"/>
        <v>24</v>
      </c>
      <c r="N30" s="145">
        <f t="shared" si="1"/>
        <v>0</v>
      </c>
      <c r="O30" s="145">
        <f t="shared" si="1"/>
        <v>0</v>
      </c>
      <c r="P30" s="145">
        <f t="shared" si="1"/>
        <v>0</v>
      </c>
      <c r="Q30" s="145">
        <f t="shared" si="1"/>
        <v>0</v>
      </c>
      <c r="R30" s="145">
        <f t="shared" si="1"/>
        <v>0</v>
      </c>
      <c r="S30" s="145">
        <f t="shared" si="1"/>
        <v>0</v>
      </c>
      <c r="T30" s="145">
        <f t="shared" si="1"/>
        <v>0</v>
      </c>
      <c r="U30" s="145">
        <f t="shared" si="1"/>
        <v>0</v>
      </c>
      <c r="V30" s="145">
        <f t="shared" si="1"/>
        <v>0</v>
      </c>
      <c r="W30" s="145">
        <f t="shared" si="1"/>
        <v>0</v>
      </c>
      <c r="X30" s="145">
        <f t="shared" si="1"/>
        <v>0</v>
      </c>
      <c r="Y30" s="145">
        <f t="shared" si="1"/>
        <v>0</v>
      </c>
      <c r="Z30" s="145">
        <f t="shared" si="1"/>
        <v>0</v>
      </c>
      <c r="AA30" s="145">
        <f t="shared" si="1"/>
        <v>0</v>
      </c>
      <c r="AB30" s="145">
        <f t="shared" si="1"/>
        <v>0</v>
      </c>
      <c r="AC30" s="145">
        <f t="shared" si="1"/>
        <v>0</v>
      </c>
      <c r="AD30" s="145">
        <f t="shared" si="1"/>
        <v>0</v>
      </c>
      <c r="AE30" s="145">
        <f t="shared" si="1"/>
        <v>0</v>
      </c>
    </row>
    <row r="31" spans="1:33">
      <c r="H31" s="368">
        <v>44081</v>
      </c>
    </row>
    <row r="32" spans="1:33">
      <c r="D32" s="10" t="s">
        <v>952</v>
      </c>
      <c r="H32" s="10">
        <v>300</v>
      </c>
      <c r="I32" s="369">
        <f>H32*I30</f>
        <v>7800</v>
      </c>
    </row>
    <row r="33" spans="8:9">
      <c r="H33" s="10" t="s">
        <v>953</v>
      </c>
      <c r="I33" s="369">
        <v>4576</v>
      </c>
    </row>
    <row r="34" spans="8:9">
      <c r="H34" s="10" t="s">
        <v>954</v>
      </c>
      <c r="I34" s="369">
        <v>910</v>
      </c>
    </row>
    <row r="35" spans="8:9">
      <c r="H35" s="10" t="s">
        <v>955</v>
      </c>
      <c r="I35" s="369">
        <v>1170</v>
      </c>
    </row>
    <row r="36" spans="8:9">
      <c r="H36" s="10" t="s">
        <v>956</v>
      </c>
      <c r="I36" s="369">
        <f>I32-I33-I34-I35</f>
        <v>1144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31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J26" sqref="J26"/>
    </sheetView>
  </sheetViews>
  <sheetFormatPr defaultRowHeight="16.5"/>
  <cols>
    <col min="1" max="1" width="5" customWidth="1"/>
    <col min="2" max="2" width="7.625" customWidth="1"/>
    <col min="3" max="3" width="11" customWidth="1"/>
    <col min="4" max="4" width="11" style="78" customWidth="1"/>
    <col min="5" max="34" width="3.875" style="145" customWidth="1"/>
    <col min="35" max="35" width="9" style="145"/>
    <col min="36" max="45" width="9" style="78"/>
  </cols>
  <sheetData>
    <row r="1" spans="1:35">
      <c r="A1" s="475">
        <v>307</v>
      </c>
      <c r="B1" s="476"/>
      <c r="C1" s="475" t="s">
        <v>378</v>
      </c>
      <c r="D1" s="478"/>
      <c r="E1" s="232" t="s">
        <v>866</v>
      </c>
      <c r="F1" s="232" t="s">
        <v>301</v>
      </c>
      <c r="G1" s="232" t="s">
        <v>374</v>
      </c>
      <c r="H1" s="232" t="s">
        <v>374</v>
      </c>
      <c r="I1" s="232" t="s">
        <v>374</v>
      </c>
      <c r="J1" s="232" t="s">
        <v>374</v>
      </c>
      <c r="K1" s="232" t="s">
        <v>374</v>
      </c>
      <c r="L1" s="232" t="s">
        <v>374</v>
      </c>
      <c r="M1" s="232" t="s">
        <v>374</v>
      </c>
      <c r="N1" s="232" t="s">
        <v>374</v>
      </c>
      <c r="O1" s="232" t="s">
        <v>374</v>
      </c>
      <c r="P1" s="232" t="s">
        <v>374</v>
      </c>
      <c r="Q1" s="232" t="s">
        <v>374</v>
      </c>
      <c r="R1" s="232" t="s">
        <v>374</v>
      </c>
      <c r="S1" s="232" t="s">
        <v>375</v>
      </c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5" s="78" customFormat="1">
      <c r="A2" s="400"/>
      <c r="B2" s="402"/>
      <c r="C2" s="400"/>
      <c r="D2" s="401"/>
      <c r="E2" s="401">
        <v>9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399"/>
      <c r="AH2" s="399"/>
      <c r="AI2" s="399"/>
    </row>
    <row r="3" spans="1:35">
      <c r="A3" s="147" t="s">
        <v>102</v>
      </c>
      <c r="B3" s="135" t="s">
        <v>0</v>
      </c>
      <c r="C3" s="234" t="s">
        <v>379</v>
      </c>
      <c r="D3" s="234" t="s">
        <v>380</v>
      </c>
      <c r="E3" s="576" t="s">
        <v>1034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6"/>
      <c r="AH3" s="136"/>
    </row>
    <row r="4" spans="1:35" ht="18" customHeight="1">
      <c r="A4" s="147">
        <v>1</v>
      </c>
      <c r="B4" s="135" t="str">
        <f>VLOOKUP(A4,緊急聯絡!A$2:C$27,3,0)</f>
        <v>陳威劭</v>
      </c>
      <c r="C4" s="110">
        <f>COUNTA(E4:AF4)</f>
        <v>1</v>
      </c>
      <c r="D4" s="110">
        <f t="shared" ref="D4:D29" si="0">COUNTA(E4:AE4)</f>
        <v>1</v>
      </c>
      <c r="E4" s="340">
        <v>0</v>
      </c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136"/>
      <c r="AH4" s="136"/>
    </row>
    <row r="5" spans="1:35" ht="18" customHeight="1">
      <c r="A5" s="147">
        <v>2</v>
      </c>
      <c r="B5" s="135" t="str">
        <f>VLOOKUP(A5,緊急聯絡!A$2:C$27,3,0)</f>
        <v>周宗慶</v>
      </c>
      <c r="C5" s="110">
        <f t="shared" ref="C5:C29" si="1">COUNTA(E5:AF5)</f>
        <v>1</v>
      </c>
      <c r="D5" s="110">
        <f t="shared" si="0"/>
        <v>1</v>
      </c>
      <c r="E5" s="340">
        <v>1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233"/>
      <c r="AH5" s="233"/>
    </row>
    <row r="6" spans="1:35" ht="18" customHeight="1">
      <c r="A6" s="147">
        <v>3</v>
      </c>
      <c r="B6" s="135" t="str">
        <f>VLOOKUP(A6,緊急聯絡!A$2:C$27,3,0)</f>
        <v>林昱任</v>
      </c>
      <c r="C6" s="110">
        <f t="shared" si="1"/>
        <v>1</v>
      </c>
      <c r="D6" s="110">
        <f t="shared" si="0"/>
        <v>1</v>
      </c>
      <c r="E6" s="340">
        <v>1</v>
      </c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136"/>
      <c r="AH6" s="136"/>
    </row>
    <row r="7" spans="1:35" ht="18" customHeight="1">
      <c r="A7" s="147">
        <v>4</v>
      </c>
      <c r="B7" s="135" t="str">
        <f>VLOOKUP(A7,緊急聯絡!A$2:C$27,3,0)</f>
        <v>李奎煜</v>
      </c>
      <c r="C7" s="110">
        <f t="shared" si="1"/>
        <v>1</v>
      </c>
      <c r="D7" s="110">
        <f t="shared" si="0"/>
        <v>1</v>
      </c>
      <c r="E7" s="340">
        <v>0</v>
      </c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136"/>
      <c r="AH7" s="136"/>
    </row>
    <row r="8" spans="1:35" ht="18" customHeight="1">
      <c r="A8" s="147">
        <v>5</v>
      </c>
      <c r="B8" s="135" t="str">
        <f>VLOOKUP(A8,緊急聯絡!A$2:C$27,3,0)</f>
        <v>葉翃均</v>
      </c>
      <c r="C8" s="110">
        <f t="shared" si="1"/>
        <v>1</v>
      </c>
      <c r="D8" s="110">
        <f t="shared" si="0"/>
        <v>1</v>
      </c>
      <c r="E8" s="340">
        <v>0</v>
      </c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136"/>
      <c r="AH8" s="136"/>
    </row>
    <row r="9" spans="1:35" ht="18" customHeight="1">
      <c r="A9" s="147">
        <v>6</v>
      </c>
      <c r="B9" s="135" t="str">
        <f>VLOOKUP(A9,緊急聯絡!A$2:C$27,3,0)</f>
        <v>王奕勳</v>
      </c>
      <c r="C9" s="110">
        <f t="shared" si="1"/>
        <v>1</v>
      </c>
      <c r="D9" s="110">
        <f t="shared" si="0"/>
        <v>1</v>
      </c>
      <c r="E9" s="340">
        <v>1</v>
      </c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136"/>
      <c r="AH9" s="136"/>
    </row>
    <row r="10" spans="1:35" ht="18" customHeight="1">
      <c r="A10" s="147">
        <v>7</v>
      </c>
      <c r="B10" s="135" t="str">
        <f>VLOOKUP(A10,緊急聯絡!A$2:C$27,3,0)</f>
        <v>葉彥均</v>
      </c>
      <c r="C10" s="110">
        <f t="shared" si="1"/>
        <v>1</v>
      </c>
      <c r="D10" s="110">
        <f t="shared" si="0"/>
        <v>1</v>
      </c>
      <c r="E10" s="340">
        <v>1</v>
      </c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136"/>
      <c r="AH10" s="136"/>
    </row>
    <row r="11" spans="1:35" ht="18" customHeight="1">
      <c r="A11" s="147">
        <v>8</v>
      </c>
      <c r="B11" s="135" t="str">
        <f>VLOOKUP(A11,緊急聯絡!A$2:C$27,3,0)</f>
        <v>洪楷珅</v>
      </c>
      <c r="C11" s="110">
        <f t="shared" si="1"/>
        <v>1</v>
      </c>
      <c r="D11" s="110">
        <f t="shared" si="0"/>
        <v>1</v>
      </c>
      <c r="E11" s="340">
        <v>0</v>
      </c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136"/>
      <c r="AH11" s="136"/>
    </row>
    <row r="12" spans="1:35" ht="18" customHeight="1">
      <c r="A12" s="147">
        <v>9</v>
      </c>
      <c r="B12" s="135" t="str">
        <f>VLOOKUP(A12,緊急聯絡!A$2:C$27,3,0)</f>
        <v>吳承哲</v>
      </c>
      <c r="C12" s="110">
        <f t="shared" si="1"/>
        <v>1</v>
      </c>
      <c r="D12" s="110">
        <f t="shared" si="0"/>
        <v>1</v>
      </c>
      <c r="E12" s="340">
        <v>0</v>
      </c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136"/>
      <c r="AH12" s="136"/>
    </row>
    <row r="13" spans="1:35" ht="18" customHeight="1">
      <c r="A13" s="147">
        <v>10</v>
      </c>
      <c r="B13" s="135" t="str">
        <f>VLOOKUP(A13,緊急聯絡!A$2:C$27,3,0)</f>
        <v>李宥霆</v>
      </c>
      <c r="C13" s="110">
        <f t="shared" si="1"/>
        <v>1</v>
      </c>
      <c r="D13" s="110">
        <f t="shared" si="0"/>
        <v>1</v>
      </c>
      <c r="E13" s="340">
        <v>1</v>
      </c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136"/>
      <c r="AH13" s="136"/>
    </row>
    <row r="14" spans="1:35" ht="18" customHeight="1">
      <c r="A14" s="147">
        <v>11</v>
      </c>
      <c r="B14" s="135" t="str">
        <f>VLOOKUP(A14,緊急聯絡!A$2:C$27,3,0)</f>
        <v>柯皓哲</v>
      </c>
      <c r="C14" s="110">
        <f t="shared" si="1"/>
        <v>1</v>
      </c>
      <c r="D14" s="110">
        <f t="shared" si="0"/>
        <v>1</v>
      </c>
      <c r="E14" s="340">
        <v>1</v>
      </c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136"/>
      <c r="AH14" s="136"/>
    </row>
    <row r="15" spans="1:35" ht="18" customHeight="1">
      <c r="A15" s="147">
        <v>12</v>
      </c>
      <c r="B15" s="135" t="str">
        <f>VLOOKUP(A15,緊急聯絡!A$2:C$27,3,0)</f>
        <v>魏宇謙</v>
      </c>
      <c r="C15" s="110">
        <f t="shared" si="1"/>
        <v>1</v>
      </c>
      <c r="D15" s="110">
        <f t="shared" si="0"/>
        <v>1</v>
      </c>
      <c r="E15" s="340">
        <v>1</v>
      </c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136"/>
      <c r="AH15" s="136"/>
    </row>
    <row r="16" spans="1:35" ht="18" customHeight="1">
      <c r="A16" s="147">
        <v>13</v>
      </c>
      <c r="B16" s="135" t="str">
        <f>VLOOKUP(A16,緊急聯絡!A$2:C$27,3,0)</f>
        <v>林季曄</v>
      </c>
      <c r="C16" s="110">
        <f t="shared" si="1"/>
        <v>1</v>
      </c>
      <c r="D16" s="110">
        <f t="shared" si="0"/>
        <v>1</v>
      </c>
      <c r="E16" s="340">
        <v>1</v>
      </c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136"/>
      <c r="AH16" s="136"/>
    </row>
    <row r="17" spans="1:34" ht="18" customHeight="1">
      <c r="A17" s="147">
        <v>14</v>
      </c>
      <c r="B17" s="135" t="str">
        <f>VLOOKUP(A17,緊急聯絡!A$2:C$27,3,0)</f>
        <v>高翊庭</v>
      </c>
      <c r="C17" s="110">
        <f t="shared" si="1"/>
        <v>1</v>
      </c>
      <c r="D17" s="110">
        <f t="shared" si="0"/>
        <v>1</v>
      </c>
      <c r="E17" s="340">
        <v>1</v>
      </c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136"/>
      <c r="AH17" s="136"/>
    </row>
    <row r="18" spans="1:34" ht="18" customHeight="1">
      <c r="A18" s="147">
        <v>15</v>
      </c>
      <c r="B18" s="135" t="str">
        <f>VLOOKUP(A18,緊急聯絡!A$2:C$27,3,0)</f>
        <v>藍彩華</v>
      </c>
      <c r="C18" s="110">
        <f t="shared" si="1"/>
        <v>1</v>
      </c>
      <c r="D18" s="110">
        <f t="shared" si="0"/>
        <v>1</v>
      </c>
      <c r="E18" s="340">
        <v>1</v>
      </c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136"/>
      <c r="AH18" s="136"/>
    </row>
    <row r="19" spans="1:34" ht="18" customHeight="1">
      <c r="A19" s="147">
        <v>16</v>
      </c>
      <c r="B19" s="135" t="str">
        <f>VLOOKUP(A19,緊急聯絡!A$2:C$27,3,0)</f>
        <v>曾琛晞</v>
      </c>
      <c r="C19" s="110">
        <f t="shared" si="1"/>
        <v>1</v>
      </c>
      <c r="D19" s="110">
        <f t="shared" si="0"/>
        <v>1</v>
      </c>
      <c r="E19" s="340">
        <v>1</v>
      </c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136"/>
      <c r="AH19" s="136"/>
    </row>
    <row r="20" spans="1:34" ht="18" customHeight="1">
      <c r="A20" s="147">
        <v>17</v>
      </c>
      <c r="B20" s="135" t="str">
        <f>VLOOKUP(A20,緊急聯絡!A$2:C$27,3,0)</f>
        <v>張智函</v>
      </c>
      <c r="C20" s="110">
        <f t="shared" si="1"/>
        <v>1</v>
      </c>
      <c r="D20" s="110">
        <f t="shared" si="0"/>
        <v>1</v>
      </c>
      <c r="E20" s="340">
        <v>1</v>
      </c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136"/>
      <c r="AH20" s="136"/>
    </row>
    <row r="21" spans="1:34" ht="18" customHeight="1">
      <c r="A21" s="147">
        <v>18</v>
      </c>
      <c r="B21" s="135" t="str">
        <f>VLOOKUP(A21,緊急聯絡!A$2:C$27,3,0)</f>
        <v>許凌菲</v>
      </c>
      <c r="C21" s="110">
        <f t="shared" si="1"/>
        <v>1</v>
      </c>
      <c r="D21" s="110">
        <f t="shared" si="0"/>
        <v>1</v>
      </c>
      <c r="E21" s="340">
        <v>1</v>
      </c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233"/>
      <c r="AH21" s="233"/>
    </row>
    <row r="22" spans="1:34" ht="18" customHeight="1">
      <c r="A22" s="147">
        <v>19</v>
      </c>
      <c r="B22" s="135" t="str">
        <f>VLOOKUP(A22,緊急聯絡!A$2:C$27,3,0)</f>
        <v>吳羽棠</v>
      </c>
      <c r="C22" s="110">
        <f t="shared" si="1"/>
        <v>1</v>
      </c>
      <c r="D22" s="110">
        <f t="shared" si="0"/>
        <v>1</v>
      </c>
      <c r="E22" s="340">
        <v>1</v>
      </c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136"/>
      <c r="AH22" s="136"/>
    </row>
    <row r="23" spans="1:34" ht="18" customHeight="1">
      <c r="A23" s="147">
        <v>20</v>
      </c>
      <c r="B23" s="135" t="str">
        <f>VLOOKUP(A23,緊急聯絡!A$2:C$27,3,0)</f>
        <v>蔡羽媗</v>
      </c>
      <c r="C23" s="110">
        <f t="shared" si="1"/>
        <v>1</v>
      </c>
      <c r="D23" s="110">
        <f t="shared" si="0"/>
        <v>1</v>
      </c>
      <c r="E23" s="340">
        <v>1</v>
      </c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136"/>
      <c r="AH23" s="136"/>
    </row>
    <row r="24" spans="1:34" ht="18" customHeight="1">
      <c r="A24" s="147">
        <v>21</v>
      </c>
      <c r="B24" s="135" t="str">
        <f>VLOOKUP(A24,緊急聯絡!A$2:C$27,3,0)</f>
        <v>楊筱歆</v>
      </c>
      <c r="C24" s="110">
        <f t="shared" si="1"/>
        <v>0</v>
      </c>
      <c r="D24" s="110">
        <f t="shared" si="0"/>
        <v>0</v>
      </c>
      <c r="E24" s="340"/>
      <c r="F24" s="341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136"/>
      <c r="AH24" s="136"/>
    </row>
    <row r="25" spans="1:34" ht="18" customHeight="1">
      <c r="A25" s="147">
        <v>22</v>
      </c>
      <c r="B25" s="135" t="str">
        <f>VLOOKUP(A25,緊急聯絡!A$2:C$27,3,0)</f>
        <v>邱詩涵</v>
      </c>
      <c r="C25" s="110">
        <f t="shared" si="1"/>
        <v>1</v>
      </c>
      <c r="D25" s="110">
        <f t="shared" si="0"/>
        <v>1</v>
      </c>
      <c r="E25" s="340">
        <v>0</v>
      </c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233"/>
      <c r="AH25" s="233"/>
    </row>
    <row r="26" spans="1:34" ht="18" customHeight="1">
      <c r="A26" s="147">
        <v>23</v>
      </c>
      <c r="B26" s="135" t="str">
        <f>VLOOKUP(A26,緊急聯絡!A$2:C$27,3,0)</f>
        <v>張涵甯</v>
      </c>
      <c r="C26" s="110">
        <f t="shared" si="1"/>
        <v>1</v>
      </c>
      <c r="D26" s="110">
        <f t="shared" si="0"/>
        <v>1</v>
      </c>
      <c r="E26" s="340">
        <v>1</v>
      </c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136"/>
      <c r="AH26" s="136"/>
    </row>
    <row r="27" spans="1:34" ht="18" customHeight="1">
      <c r="A27" s="147">
        <v>24</v>
      </c>
      <c r="B27" s="135" t="str">
        <f>VLOOKUP(A27,緊急聯絡!A$2:C$27,3,0)</f>
        <v>王姿涵</v>
      </c>
      <c r="C27" s="110">
        <f t="shared" si="1"/>
        <v>1</v>
      </c>
      <c r="D27" s="110">
        <f t="shared" si="0"/>
        <v>1</v>
      </c>
      <c r="E27" s="340">
        <v>1</v>
      </c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233"/>
      <c r="AH27" s="233"/>
    </row>
    <row r="28" spans="1:34" ht="18" customHeight="1">
      <c r="A28" s="147">
        <v>25</v>
      </c>
      <c r="B28" s="135" t="str">
        <f>VLOOKUP(A28,緊急聯絡!A$2:C$27,3,0)</f>
        <v>林昱萱</v>
      </c>
      <c r="C28" s="110">
        <f t="shared" si="1"/>
        <v>1</v>
      </c>
      <c r="D28" s="110">
        <f t="shared" si="0"/>
        <v>1</v>
      </c>
      <c r="E28" s="340">
        <v>1</v>
      </c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136"/>
      <c r="AH28" s="136"/>
    </row>
    <row r="29" spans="1:34" ht="18" customHeight="1">
      <c r="A29" s="147">
        <v>26</v>
      </c>
      <c r="B29" s="135" t="str">
        <f>VLOOKUP(A29,緊急聯絡!A$2:C$27,3,0)</f>
        <v>李文</v>
      </c>
      <c r="C29" s="110">
        <f t="shared" si="1"/>
        <v>1</v>
      </c>
      <c r="D29" s="110">
        <f t="shared" si="0"/>
        <v>1</v>
      </c>
      <c r="E29" s="340">
        <v>0</v>
      </c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136"/>
      <c r="AH29" s="136"/>
    </row>
    <row r="30" spans="1:34" ht="18" customHeight="1">
      <c r="A30" s="147"/>
      <c r="B30" s="135"/>
      <c r="C30" s="110"/>
      <c r="D30" s="110"/>
      <c r="E30" s="340">
        <f>SUM(E4:E29)</f>
        <v>18</v>
      </c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136"/>
      <c r="AH30" s="136"/>
    </row>
    <row r="31" spans="1:34">
      <c r="A31" s="147"/>
      <c r="B31" s="135"/>
      <c r="C31" s="110"/>
      <c r="D31" s="110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</row>
  </sheetData>
  <mergeCells count="2">
    <mergeCell ref="A1:B1"/>
    <mergeCell ref="C1:D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3"/>
  <sheetViews>
    <sheetView workbookViewId="0">
      <selection sqref="A1:I1048576"/>
    </sheetView>
  </sheetViews>
  <sheetFormatPr defaultRowHeight="16.5"/>
  <cols>
    <col min="1" max="1" width="7.625" customWidth="1"/>
    <col min="2" max="8" width="5.25" style="145" customWidth="1"/>
    <col min="9" max="9" width="4.75" style="145" customWidth="1"/>
    <col min="10" max="10" width="4.75" customWidth="1"/>
    <col min="11" max="11" width="9.5" customWidth="1"/>
    <col min="12" max="12" width="13.25" style="10" customWidth="1"/>
    <col min="13" max="13" width="19.375" style="10" customWidth="1"/>
    <col min="14" max="14" width="10" style="10" customWidth="1"/>
    <col min="15" max="15" width="13.5" style="10" customWidth="1"/>
  </cols>
  <sheetData>
    <row r="1" spans="1:17">
      <c r="A1" s="263"/>
      <c r="B1" s="262">
        <v>43515</v>
      </c>
      <c r="C1" s="262">
        <v>43517</v>
      </c>
      <c r="D1" s="262">
        <v>43537</v>
      </c>
      <c r="E1" s="262">
        <v>43777</v>
      </c>
      <c r="F1" s="262">
        <v>43795</v>
      </c>
      <c r="G1" s="262">
        <v>43899</v>
      </c>
      <c r="H1" s="262">
        <v>44002</v>
      </c>
      <c r="I1" s="262">
        <v>43361</v>
      </c>
      <c r="J1" s="71">
        <v>43364</v>
      </c>
      <c r="K1" s="481" t="s">
        <v>562</v>
      </c>
      <c r="L1" s="482"/>
      <c r="M1" s="480" t="s">
        <v>238</v>
      </c>
      <c r="N1" s="480"/>
      <c r="O1" s="111" t="s">
        <v>239</v>
      </c>
    </row>
    <row r="2" spans="1:17">
      <c r="A2" s="212" t="s">
        <v>0</v>
      </c>
      <c r="B2" s="273" t="s">
        <v>384</v>
      </c>
      <c r="C2" s="212" t="s">
        <v>410</v>
      </c>
      <c r="D2" s="212"/>
      <c r="E2" s="212"/>
      <c r="F2" s="266" t="s">
        <v>497</v>
      </c>
      <c r="G2" s="266" t="s">
        <v>556</v>
      </c>
      <c r="H2" s="287" t="s">
        <v>620</v>
      </c>
      <c r="I2" s="260" t="s">
        <v>231</v>
      </c>
      <c r="J2" s="73" t="s">
        <v>236</v>
      </c>
      <c r="K2" s="183">
        <v>43722</v>
      </c>
      <c r="L2" s="186">
        <v>8700</v>
      </c>
      <c r="M2" s="172" t="s">
        <v>412</v>
      </c>
      <c r="N2" s="111">
        <v>1015</v>
      </c>
      <c r="O2" s="187">
        <f>L2-N2</f>
        <v>7685</v>
      </c>
    </row>
    <row r="3" spans="1:17">
      <c r="A3" s="212" t="s">
        <v>3</v>
      </c>
      <c r="B3" s="212">
        <v>1</v>
      </c>
      <c r="C3" s="212"/>
      <c r="D3" s="212">
        <v>1</v>
      </c>
      <c r="E3" s="212">
        <v>0</v>
      </c>
      <c r="F3" s="212">
        <v>0</v>
      </c>
      <c r="G3" s="212">
        <v>100</v>
      </c>
      <c r="H3" s="212"/>
      <c r="I3" s="260">
        <v>300</v>
      </c>
      <c r="J3" s="72"/>
      <c r="K3" s="179" t="s">
        <v>454</v>
      </c>
      <c r="L3" s="186"/>
      <c r="M3" s="172" t="s">
        <v>413</v>
      </c>
      <c r="N3" s="111">
        <v>1305</v>
      </c>
      <c r="O3" s="187">
        <f>O2-N3</f>
        <v>6380</v>
      </c>
    </row>
    <row r="4" spans="1:17">
      <c r="A4" s="266" t="s">
        <v>125</v>
      </c>
      <c r="B4" s="266">
        <v>1</v>
      </c>
      <c r="C4" s="266"/>
      <c r="D4" s="266">
        <v>1</v>
      </c>
      <c r="E4" s="266">
        <v>1</v>
      </c>
      <c r="F4" s="266">
        <v>0</v>
      </c>
      <c r="G4" s="266">
        <v>100</v>
      </c>
      <c r="H4" s="266"/>
      <c r="I4" s="260">
        <v>300</v>
      </c>
      <c r="J4" s="72"/>
      <c r="K4" s="179"/>
      <c r="L4" s="186"/>
      <c r="M4" s="172" t="s">
        <v>414</v>
      </c>
      <c r="N4" s="111">
        <v>1305</v>
      </c>
      <c r="O4" s="187">
        <f t="shared" ref="O4:O10" si="0">O3-N4</f>
        <v>5075</v>
      </c>
    </row>
    <row r="5" spans="1:17">
      <c r="A5" s="212" t="s">
        <v>9</v>
      </c>
      <c r="B5" s="212">
        <v>1</v>
      </c>
      <c r="C5" s="212">
        <v>0</v>
      </c>
      <c r="D5" s="212">
        <v>1</v>
      </c>
      <c r="E5" s="212">
        <v>0</v>
      </c>
      <c r="F5" s="212">
        <v>0</v>
      </c>
      <c r="G5" s="212"/>
      <c r="H5" s="212"/>
      <c r="I5" s="260">
        <v>300</v>
      </c>
      <c r="J5" s="72"/>
      <c r="K5" s="179"/>
      <c r="L5" s="186"/>
      <c r="M5" s="172" t="s">
        <v>415</v>
      </c>
      <c r="N5" s="111">
        <v>1015</v>
      </c>
      <c r="O5" s="187">
        <f t="shared" si="0"/>
        <v>4060</v>
      </c>
    </row>
    <row r="6" spans="1:17">
      <c r="A6" s="212" t="s">
        <v>10</v>
      </c>
      <c r="B6" s="212">
        <v>1</v>
      </c>
      <c r="C6" s="212"/>
      <c r="D6" s="212"/>
      <c r="E6" s="212">
        <v>1</v>
      </c>
      <c r="F6" s="212">
        <v>0</v>
      </c>
      <c r="G6" s="212">
        <v>100</v>
      </c>
      <c r="H6" s="212">
        <v>1</v>
      </c>
      <c r="I6" s="260">
        <v>300</v>
      </c>
      <c r="J6" s="72"/>
      <c r="K6" s="179"/>
      <c r="L6" s="186"/>
      <c r="M6" s="172" t="s">
        <v>416</v>
      </c>
      <c r="N6" s="111">
        <v>1015</v>
      </c>
      <c r="O6" s="187">
        <f t="shared" si="0"/>
        <v>3045</v>
      </c>
    </row>
    <row r="7" spans="1:17">
      <c r="A7" s="212" t="s">
        <v>13</v>
      </c>
      <c r="B7" s="212">
        <v>1</v>
      </c>
      <c r="C7" s="212">
        <v>1</v>
      </c>
      <c r="D7" s="212">
        <v>1</v>
      </c>
      <c r="E7" s="212">
        <v>1</v>
      </c>
      <c r="F7" s="212">
        <v>0</v>
      </c>
      <c r="G7" s="212"/>
      <c r="H7" s="212">
        <v>1</v>
      </c>
      <c r="I7" s="260">
        <v>300</v>
      </c>
      <c r="J7" s="72"/>
      <c r="K7" s="179"/>
      <c r="L7" s="186"/>
      <c r="M7" s="172" t="s">
        <v>417</v>
      </c>
      <c r="N7" s="111">
        <v>1305</v>
      </c>
      <c r="O7" s="187">
        <f t="shared" si="0"/>
        <v>1740</v>
      </c>
    </row>
    <row r="8" spans="1:17">
      <c r="A8" s="212" t="s">
        <v>16</v>
      </c>
      <c r="B8" s="212">
        <v>0</v>
      </c>
      <c r="C8" s="212">
        <v>1</v>
      </c>
      <c r="D8" s="212"/>
      <c r="E8" s="212">
        <v>1</v>
      </c>
      <c r="F8" s="212">
        <v>0</v>
      </c>
      <c r="G8" s="212"/>
      <c r="H8" s="212">
        <v>1</v>
      </c>
      <c r="I8" s="260">
        <v>300</v>
      </c>
      <c r="J8" s="72"/>
      <c r="K8" s="179"/>
      <c r="L8" s="186"/>
      <c r="M8" s="172" t="s">
        <v>418</v>
      </c>
      <c r="N8" s="111">
        <v>1305</v>
      </c>
      <c r="O8" s="187">
        <f t="shared" si="0"/>
        <v>435</v>
      </c>
    </row>
    <row r="9" spans="1:17">
      <c r="A9" s="212" t="s">
        <v>19</v>
      </c>
      <c r="B9" s="212">
        <v>1</v>
      </c>
      <c r="C9" s="212">
        <v>1</v>
      </c>
      <c r="D9" s="212">
        <v>1</v>
      </c>
      <c r="E9" s="212">
        <v>0</v>
      </c>
      <c r="F9" s="212">
        <v>1</v>
      </c>
      <c r="G9" s="212"/>
      <c r="H9" s="212"/>
      <c r="I9" s="260">
        <v>300</v>
      </c>
      <c r="J9" s="72"/>
      <c r="K9" s="179"/>
      <c r="L9" s="186"/>
      <c r="M9" s="172" t="s">
        <v>419</v>
      </c>
      <c r="N9" s="111">
        <v>1015</v>
      </c>
      <c r="O9" s="187">
        <f t="shared" si="0"/>
        <v>-580</v>
      </c>
    </row>
    <row r="10" spans="1:17">
      <c r="A10" s="212" t="s">
        <v>22</v>
      </c>
      <c r="B10" s="212">
        <v>0</v>
      </c>
      <c r="C10" s="212">
        <v>1</v>
      </c>
      <c r="D10" s="212"/>
      <c r="E10" s="212">
        <v>1</v>
      </c>
      <c r="F10" s="212">
        <v>1</v>
      </c>
      <c r="G10" s="212">
        <v>100</v>
      </c>
      <c r="H10" s="212"/>
      <c r="I10" s="260">
        <v>300</v>
      </c>
      <c r="J10" s="72"/>
      <c r="K10" s="179"/>
      <c r="L10" s="186"/>
      <c r="M10" s="174" t="s">
        <v>445</v>
      </c>
      <c r="N10" s="111">
        <v>348</v>
      </c>
      <c r="O10" s="187">
        <f t="shared" si="0"/>
        <v>-928</v>
      </c>
    </row>
    <row r="11" spans="1:17">
      <c r="A11" s="212" t="s">
        <v>25</v>
      </c>
      <c r="B11" s="212">
        <v>1</v>
      </c>
      <c r="C11" s="212">
        <v>0</v>
      </c>
      <c r="D11" s="212">
        <v>1</v>
      </c>
      <c r="E11" s="212">
        <v>1</v>
      </c>
      <c r="F11" s="212">
        <v>1</v>
      </c>
      <c r="G11" s="212">
        <v>100</v>
      </c>
      <c r="H11" s="212">
        <v>1</v>
      </c>
      <c r="I11" s="260">
        <v>300</v>
      </c>
      <c r="J11" s="72"/>
      <c r="K11" s="184">
        <v>43532</v>
      </c>
      <c r="L11" s="186">
        <v>8700</v>
      </c>
      <c r="M11" s="174" t="s">
        <v>446</v>
      </c>
      <c r="N11" s="177">
        <v>434</v>
      </c>
      <c r="O11" s="187">
        <f>L11+O10-N11</f>
        <v>7338</v>
      </c>
    </row>
    <row r="12" spans="1:17">
      <c r="A12" s="212" t="s">
        <v>30</v>
      </c>
      <c r="B12" s="212">
        <v>1</v>
      </c>
      <c r="C12" s="212">
        <v>1</v>
      </c>
      <c r="D12" s="212">
        <v>1</v>
      </c>
      <c r="E12" s="212">
        <v>1</v>
      </c>
      <c r="F12" s="212">
        <v>0</v>
      </c>
      <c r="G12" s="212">
        <v>100</v>
      </c>
      <c r="H12" s="212">
        <v>1</v>
      </c>
      <c r="I12" s="260">
        <v>300</v>
      </c>
      <c r="J12" s="72"/>
      <c r="K12" s="179" t="s">
        <v>455</v>
      </c>
      <c r="L12" s="186"/>
      <c r="M12" s="174" t="s">
        <v>447</v>
      </c>
      <c r="N12" s="181"/>
      <c r="O12" s="173">
        <v>7338</v>
      </c>
    </row>
    <row r="13" spans="1:17">
      <c r="A13" s="212" t="s">
        <v>33</v>
      </c>
      <c r="B13" s="212">
        <v>1</v>
      </c>
      <c r="C13" s="212">
        <v>1</v>
      </c>
      <c r="D13" s="212"/>
      <c r="E13" s="212">
        <v>1</v>
      </c>
      <c r="F13" s="212">
        <v>0</v>
      </c>
      <c r="G13" s="212">
        <v>100</v>
      </c>
      <c r="H13" s="212">
        <v>1</v>
      </c>
      <c r="I13" s="260">
        <v>300</v>
      </c>
      <c r="J13" s="72"/>
      <c r="K13" s="72"/>
    </row>
    <row r="14" spans="1:17">
      <c r="A14" s="212" t="s">
        <v>36</v>
      </c>
      <c r="B14" s="212">
        <v>0</v>
      </c>
      <c r="C14" s="212">
        <v>1</v>
      </c>
      <c r="D14" s="212">
        <v>1</v>
      </c>
      <c r="E14" s="212">
        <v>1</v>
      </c>
      <c r="F14" s="212">
        <v>0</v>
      </c>
      <c r="G14" s="212"/>
      <c r="H14" s="212">
        <v>1</v>
      </c>
      <c r="I14" s="260">
        <v>300</v>
      </c>
      <c r="J14" s="72"/>
      <c r="K14" s="184" t="s">
        <v>453</v>
      </c>
      <c r="L14" s="186">
        <v>7338</v>
      </c>
      <c r="M14" s="182" t="s">
        <v>448</v>
      </c>
      <c r="N14" s="145">
        <f>253*2</f>
        <v>506</v>
      </c>
      <c r="O14" s="10">
        <f>7338-N14</f>
        <v>6832</v>
      </c>
      <c r="Q14">
        <f>24*28</f>
        <v>672</v>
      </c>
    </row>
    <row r="15" spans="1:17">
      <c r="A15" s="212" t="s">
        <v>39</v>
      </c>
      <c r="B15" s="212">
        <v>1</v>
      </c>
      <c r="C15" s="212">
        <v>1</v>
      </c>
      <c r="D15" s="212">
        <v>1</v>
      </c>
      <c r="E15" s="212">
        <v>0</v>
      </c>
      <c r="F15" s="212">
        <v>0</v>
      </c>
      <c r="G15" s="212">
        <v>100</v>
      </c>
      <c r="H15" s="212"/>
      <c r="I15" s="260">
        <v>300</v>
      </c>
      <c r="J15" s="72"/>
      <c r="K15" s="184"/>
      <c r="L15" s="180"/>
      <c r="M15" s="172" t="s">
        <v>449</v>
      </c>
      <c r="N15" s="181">
        <f>27*35</f>
        <v>945</v>
      </c>
      <c r="O15" s="181">
        <f>O14-N15</f>
        <v>5887</v>
      </c>
    </row>
    <row r="16" spans="1:17">
      <c r="A16" s="212" t="s">
        <v>42</v>
      </c>
      <c r="B16" s="212">
        <v>0</v>
      </c>
      <c r="C16" s="212">
        <v>1</v>
      </c>
      <c r="D16" s="212">
        <v>1</v>
      </c>
      <c r="E16" s="212">
        <v>1</v>
      </c>
      <c r="F16" s="212">
        <v>0</v>
      </c>
      <c r="G16" s="212">
        <v>100</v>
      </c>
      <c r="H16" s="212"/>
      <c r="I16" s="260">
        <v>300</v>
      </c>
      <c r="J16" s="72"/>
      <c r="K16" s="179"/>
      <c r="L16" s="180"/>
      <c r="M16" s="172" t="s">
        <v>450</v>
      </c>
      <c r="N16" s="181">
        <f>45*27</f>
        <v>1215</v>
      </c>
      <c r="O16" s="181">
        <f>O15-N16</f>
        <v>4672</v>
      </c>
    </row>
    <row r="17" spans="1:18">
      <c r="A17" s="212" t="s">
        <v>45</v>
      </c>
      <c r="B17" s="212">
        <v>1</v>
      </c>
      <c r="C17" s="212">
        <v>1</v>
      </c>
      <c r="D17" s="212">
        <v>1</v>
      </c>
      <c r="E17" s="212">
        <v>0</v>
      </c>
      <c r="F17" s="212">
        <v>1</v>
      </c>
      <c r="G17" s="212">
        <v>100</v>
      </c>
      <c r="H17" s="212"/>
      <c r="I17" s="260">
        <v>300</v>
      </c>
      <c r="J17" s="72"/>
      <c r="K17" s="179"/>
      <c r="L17" s="180"/>
      <c r="M17" s="172" t="s">
        <v>451</v>
      </c>
      <c r="N17" s="181">
        <f>45*27</f>
        <v>1215</v>
      </c>
      <c r="O17" s="181">
        <f>O16-N17</f>
        <v>3457</v>
      </c>
    </row>
    <row r="18" spans="1:18">
      <c r="A18" s="212" t="s">
        <v>48</v>
      </c>
      <c r="B18" s="212">
        <v>0</v>
      </c>
      <c r="C18" s="212">
        <v>1</v>
      </c>
      <c r="D18" s="212">
        <v>1</v>
      </c>
      <c r="E18" s="212">
        <v>0</v>
      </c>
      <c r="F18" s="212">
        <v>0</v>
      </c>
      <c r="G18" s="212"/>
      <c r="H18" s="212">
        <v>1</v>
      </c>
      <c r="I18" s="260">
        <v>300</v>
      </c>
      <c r="J18" s="72"/>
      <c r="K18" s="179"/>
      <c r="L18" s="180"/>
      <c r="M18" s="172" t="s">
        <v>452</v>
      </c>
      <c r="N18" s="181">
        <f>35*27</f>
        <v>945</v>
      </c>
      <c r="O18" s="181">
        <f>O17-N18</f>
        <v>2512</v>
      </c>
    </row>
    <row r="19" spans="1:18">
      <c r="A19" s="212" t="s">
        <v>51</v>
      </c>
      <c r="B19" s="212">
        <v>0</v>
      </c>
      <c r="C19" s="212">
        <v>1</v>
      </c>
      <c r="D19" s="212">
        <v>1</v>
      </c>
      <c r="E19" s="212">
        <v>1</v>
      </c>
      <c r="F19" s="212">
        <v>1</v>
      </c>
      <c r="G19" s="212">
        <v>100</v>
      </c>
      <c r="H19" s="212">
        <v>1</v>
      </c>
      <c r="I19" s="260">
        <v>300</v>
      </c>
      <c r="J19" s="72"/>
      <c r="K19" s="185">
        <v>43729</v>
      </c>
      <c r="M19" s="10" t="s">
        <v>456</v>
      </c>
      <c r="O19" s="188">
        <v>2512</v>
      </c>
    </row>
    <row r="20" spans="1:18">
      <c r="A20" s="266" t="s">
        <v>229</v>
      </c>
      <c r="B20" s="266">
        <v>0</v>
      </c>
      <c r="C20" s="266">
        <v>0</v>
      </c>
      <c r="D20" s="212"/>
      <c r="E20" s="266">
        <v>0</v>
      </c>
      <c r="F20" s="266">
        <v>1</v>
      </c>
      <c r="G20" s="266">
        <v>100</v>
      </c>
      <c r="H20" s="266">
        <v>1</v>
      </c>
      <c r="I20" s="260">
        <v>300</v>
      </c>
      <c r="J20" s="72"/>
      <c r="K20" s="283" t="s">
        <v>560</v>
      </c>
      <c r="L20" s="289" t="s">
        <v>559</v>
      </c>
      <c r="M20" s="282" t="s">
        <v>561</v>
      </c>
      <c r="N20" s="282" t="s">
        <v>553</v>
      </c>
      <c r="O20" s="289" t="s">
        <v>552</v>
      </c>
      <c r="Q20">
        <f>45*27</f>
        <v>1215</v>
      </c>
      <c r="R20">
        <f>135+500/28</f>
        <v>152.85714285714286</v>
      </c>
    </row>
    <row r="21" spans="1:18">
      <c r="A21" s="212" t="s">
        <v>57</v>
      </c>
      <c r="B21" s="212">
        <v>0</v>
      </c>
      <c r="C21" s="212"/>
      <c r="D21" s="212"/>
      <c r="E21" s="212">
        <v>1</v>
      </c>
      <c r="F21" s="212">
        <v>0</v>
      </c>
      <c r="G21" s="212">
        <v>100</v>
      </c>
      <c r="H21" s="212">
        <v>1</v>
      </c>
      <c r="I21" s="260">
        <v>300</v>
      </c>
      <c r="J21" s="72"/>
      <c r="K21" s="283" t="s">
        <v>558</v>
      </c>
      <c r="L21" s="289">
        <v>2512</v>
      </c>
      <c r="M21" s="288" t="s">
        <v>551</v>
      </c>
      <c r="N21" s="282">
        <v>500</v>
      </c>
      <c r="O21" s="282">
        <f>L21-N21</f>
        <v>2012</v>
      </c>
      <c r="Q21">
        <f>1633/27</f>
        <v>60.481481481481481</v>
      </c>
    </row>
    <row r="22" spans="1:18">
      <c r="A22" s="212" t="s">
        <v>60</v>
      </c>
      <c r="B22" s="212">
        <v>0</v>
      </c>
      <c r="C22" s="212">
        <v>1</v>
      </c>
      <c r="D22" s="266">
        <v>1</v>
      </c>
      <c r="E22" s="212">
        <v>1</v>
      </c>
      <c r="F22" s="212">
        <v>0</v>
      </c>
      <c r="G22" s="212">
        <v>100</v>
      </c>
      <c r="H22" s="212"/>
      <c r="I22" s="260">
        <v>300</v>
      </c>
      <c r="J22" s="72"/>
      <c r="K22" s="283"/>
      <c r="L22" s="282"/>
      <c r="M22" s="288" t="s">
        <v>548</v>
      </c>
      <c r="N22" s="282">
        <v>1215</v>
      </c>
      <c r="O22" s="282">
        <f>O21-N22</f>
        <v>797</v>
      </c>
    </row>
    <row r="23" spans="1:18">
      <c r="A23" s="212" t="s">
        <v>63</v>
      </c>
      <c r="B23" s="212">
        <v>1</v>
      </c>
      <c r="C23" s="212">
        <v>1</v>
      </c>
      <c r="D23" s="212">
        <v>1</v>
      </c>
      <c r="E23" s="212">
        <v>0</v>
      </c>
      <c r="F23" s="212">
        <v>1</v>
      </c>
      <c r="G23" s="212">
        <v>100</v>
      </c>
      <c r="H23" s="212"/>
      <c r="I23" s="260">
        <v>300</v>
      </c>
      <c r="J23" s="72"/>
      <c r="K23" s="282"/>
      <c r="L23" s="282"/>
      <c r="M23" s="288" t="s">
        <v>549</v>
      </c>
      <c r="N23" s="282">
        <v>1215</v>
      </c>
      <c r="O23" s="282">
        <f>O22-N23</f>
        <v>-418</v>
      </c>
      <c r="Q23">
        <f>45*28*3</f>
        <v>3780</v>
      </c>
    </row>
    <row r="24" spans="1:18">
      <c r="A24" s="266" t="s">
        <v>143</v>
      </c>
      <c r="B24" s="266">
        <v>1</v>
      </c>
      <c r="C24" s="266"/>
      <c r="D24" s="212"/>
      <c r="E24" s="266">
        <v>0</v>
      </c>
      <c r="F24" s="266">
        <v>0</v>
      </c>
      <c r="G24" s="266"/>
      <c r="H24" s="266"/>
      <c r="I24" s="260">
        <v>300</v>
      </c>
      <c r="J24" s="72"/>
      <c r="K24" s="282"/>
      <c r="L24" s="282"/>
      <c r="M24" s="288" t="s">
        <v>550</v>
      </c>
      <c r="N24" s="282">
        <v>1215</v>
      </c>
      <c r="O24" s="290">
        <f>O23-N24</f>
        <v>-1633</v>
      </c>
      <c r="Q24">
        <f>1027/27</f>
        <v>38.037037037037038</v>
      </c>
    </row>
    <row r="25" spans="1:18">
      <c r="A25" s="212" t="s">
        <v>69</v>
      </c>
      <c r="B25" s="212">
        <v>0</v>
      </c>
      <c r="C25" s="212">
        <v>0</v>
      </c>
      <c r="D25" s="212">
        <v>1</v>
      </c>
      <c r="E25" s="212">
        <v>1</v>
      </c>
      <c r="F25" s="212">
        <v>0</v>
      </c>
      <c r="G25" s="212">
        <v>100</v>
      </c>
      <c r="H25" s="212">
        <v>1</v>
      </c>
      <c r="I25" s="260">
        <v>300</v>
      </c>
      <c r="J25" s="72"/>
      <c r="K25" s="283">
        <v>43901</v>
      </c>
      <c r="L25" s="282">
        <v>2700</v>
      </c>
      <c r="M25" s="288"/>
      <c r="N25" s="282"/>
      <c r="O25" s="282">
        <f>L25+O24</f>
        <v>1067</v>
      </c>
    </row>
    <row r="26" spans="1:18">
      <c r="A26" s="266" t="s">
        <v>145</v>
      </c>
      <c r="B26" s="266">
        <v>1</v>
      </c>
      <c r="C26" s="266">
        <v>1</v>
      </c>
      <c r="D26" s="266">
        <v>1</v>
      </c>
      <c r="E26" s="266">
        <v>1</v>
      </c>
      <c r="F26" s="266">
        <v>1</v>
      </c>
      <c r="G26" s="266"/>
      <c r="H26" s="266"/>
      <c r="I26" s="260">
        <v>300</v>
      </c>
      <c r="J26" s="72"/>
      <c r="K26" s="291" t="s">
        <v>563</v>
      </c>
      <c r="L26" s="282">
        <v>40</v>
      </c>
      <c r="M26" s="288" t="s">
        <v>580</v>
      </c>
      <c r="N26" s="282">
        <v>500</v>
      </c>
      <c r="O26" s="282">
        <f>O25-N26</f>
        <v>567</v>
      </c>
    </row>
    <row r="27" spans="1:18">
      <c r="A27" s="212" t="s">
        <v>75</v>
      </c>
      <c r="B27" s="212">
        <v>0</v>
      </c>
      <c r="C27" s="212">
        <v>0</v>
      </c>
      <c r="D27" s="212">
        <v>1</v>
      </c>
      <c r="E27" s="212">
        <v>1</v>
      </c>
      <c r="F27" s="212">
        <v>0</v>
      </c>
      <c r="G27" s="212">
        <v>100</v>
      </c>
      <c r="H27" s="212"/>
      <c r="I27" s="260">
        <v>300</v>
      </c>
      <c r="J27" s="72"/>
      <c r="K27" s="292"/>
      <c r="L27" s="143"/>
      <c r="M27" s="282" t="s">
        <v>557</v>
      </c>
      <c r="N27" s="282"/>
      <c r="O27" s="289">
        <f>O26</f>
        <v>567</v>
      </c>
      <c r="Q27">
        <f>28*32</f>
        <v>896</v>
      </c>
    </row>
    <row r="28" spans="1:18">
      <c r="A28" s="212" t="s">
        <v>78</v>
      </c>
      <c r="B28" s="212">
        <v>0</v>
      </c>
      <c r="C28" s="212">
        <v>1</v>
      </c>
      <c r="D28" s="266"/>
      <c r="E28" s="212">
        <v>1</v>
      </c>
      <c r="F28" s="212">
        <v>0</v>
      </c>
      <c r="G28" s="212">
        <v>100</v>
      </c>
      <c r="H28" s="212">
        <v>1</v>
      </c>
      <c r="I28" s="260">
        <v>300</v>
      </c>
      <c r="J28" s="72"/>
      <c r="K28" s="73"/>
    </row>
    <row r="29" spans="1:18">
      <c r="A29" s="212" t="s">
        <v>81</v>
      </c>
      <c r="B29" s="212">
        <v>0</v>
      </c>
      <c r="C29" s="212">
        <v>1</v>
      </c>
      <c r="D29" s="212">
        <v>1</v>
      </c>
      <c r="E29" s="212">
        <v>1</v>
      </c>
      <c r="F29" s="212">
        <v>0</v>
      </c>
      <c r="G29" s="212">
        <v>100</v>
      </c>
      <c r="H29" s="212">
        <v>1</v>
      </c>
      <c r="I29" s="260">
        <v>300</v>
      </c>
      <c r="J29" s="72"/>
      <c r="K29" s="72"/>
    </row>
    <row r="30" spans="1:18" s="78" customFormat="1">
      <c r="A30" s="212" t="s">
        <v>530</v>
      </c>
      <c r="B30" s="212"/>
      <c r="C30" s="212"/>
      <c r="D30" s="212"/>
      <c r="E30" s="212"/>
      <c r="F30" s="212"/>
      <c r="G30" s="212"/>
      <c r="H30" s="212">
        <v>1</v>
      </c>
      <c r="I30" s="260"/>
      <c r="J30" s="72"/>
      <c r="K30" s="72"/>
      <c r="L30" s="145"/>
      <c r="M30" s="10"/>
      <c r="N30" s="10"/>
      <c r="O30" s="10"/>
    </row>
    <row r="31" spans="1:18">
      <c r="B31" s="145">
        <f>COUNTIF(B3:B29,"1")</f>
        <v>14</v>
      </c>
      <c r="C31" s="145">
        <f>COUNTIF(C3:C29,"1")</f>
        <v>17</v>
      </c>
      <c r="D31" s="145">
        <f>COUNTIF(D3:D29,"1")</f>
        <v>19</v>
      </c>
      <c r="E31" s="145">
        <f>COUNTIF(E3:E29,"1")</f>
        <v>18</v>
      </c>
      <c r="F31" s="145">
        <f>COUNTIF(F3:F29,"1")</f>
        <v>8</v>
      </c>
      <c r="G31" s="145">
        <f>SUM(G3:G30)</f>
        <v>1900</v>
      </c>
      <c r="H31" s="145">
        <f>SUM(H3:H30)</f>
        <v>15</v>
      </c>
      <c r="I31" s="145">
        <f>SUM(I3:I29)</f>
        <v>8100</v>
      </c>
      <c r="K31" s="72"/>
      <c r="M31" s="145"/>
      <c r="N31" s="145"/>
      <c r="O31" s="145"/>
    </row>
    <row r="32" spans="1:18">
      <c r="B32" s="145">
        <f>COUNTIF(B3:B29,"0")</f>
        <v>13</v>
      </c>
      <c r="C32" s="145">
        <f>COUNTIF(C3:C29,"0")</f>
        <v>5</v>
      </c>
      <c r="D32" s="145">
        <f>COUNTIF(D3:D29,"0")</f>
        <v>0</v>
      </c>
      <c r="E32" s="145">
        <f>COUNTIF(E3:E29,"0")</f>
        <v>9</v>
      </c>
      <c r="F32" s="145">
        <f>COUNTIF(F3:F29,"0")</f>
        <v>19</v>
      </c>
      <c r="I32" s="145">
        <f>COUNTBLANK(I3:I29)</f>
        <v>0</v>
      </c>
    </row>
    <row r="33" spans="2:9">
      <c r="B33" s="145">
        <f>COUNTIF(B3:B29,"")</f>
        <v>0</v>
      </c>
      <c r="C33" s="145">
        <f>COUNTIF(C3:C29,"")</f>
        <v>5</v>
      </c>
      <c r="D33" s="145">
        <f>COUNTIF(D3:D29,"")</f>
        <v>8</v>
      </c>
      <c r="E33" s="145">
        <f>COUNTIF(E3:E29,"")</f>
        <v>0</v>
      </c>
      <c r="F33" s="145">
        <f>COUNTIF(F3:F29,"")</f>
        <v>0</v>
      </c>
      <c r="I33" s="145">
        <f>29-COUNTBLANK(I3:I29)</f>
        <v>29</v>
      </c>
    </row>
  </sheetData>
  <mergeCells count="2">
    <mergeCell ref="M1:N1"/>
    <mergeCell ref="K1:L1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N42"/>
  <sheetViews>
    <sheetView zoomScaleNormal="100" workbookViewId="0">
      <pane xSplit="2" ySplit="3" topLeftCell="C9" activePane="bottomRight" state="frozen"/>
      <selection pane="topRight" activeCell="C1" sqref="C1"/>
      <selection pane="bottomLeft" activeCell="A4" sqref="A4"/>
      <selection pane="bottomRight" activeCell="E11" sqref="E11"/>
    </sheetView>
  </sheetViews>
  <sheetFormatPr defaultRowHeight="12.75"/>
  <cols>
    <col min="1" max="1" width="2.875" style="59" customWidth="1"/>
    <col min="2" max="2" width="7" style="59" customWidth="1"/>
    <col min="3" max="56" width="3.375" style="59" customWidth="1"/>
    <col min="57" max="62" width="4.625" style="59" customWidth="1"/>
    <col min="63" max="63" width="6.625" style="59" customWidth="1"/>
    <col min="64" max="16384" width="9" style="59"/>
  </cols>
  <sheetData>
    <row r="1" spans="1:64" ht="14.25">
      <c r="A1" s="483" t="s">
        <v>204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5"/>
    </row>
    <row r="2" spans="1:64" ht="14.25">
      <c r="A2" s="489">
        <v>307</v>
      </c>
      <c r="B2" s="489"/>
      <c r="C2" s="490" t="s">
        <v>252</v>
      </c>
      <c r="D2" s="490"/>
      <c r="E2" s="490"/>
      <c r="F2" s="490"/>
      <c r="G2" s="490"/>
      <c r="H2" s="490"/>
      <c r="I2" s="490"/>
      <c r="J2" s="490"/>
      <c r="K2" s="490" t="s">
        <v>232</v>
      </c>
      <c r="L2" s="490"/>
      <c r="M2" s="490"/>
      <c r="N2" s="490"/>
      <c r="O2" s="490"/>
      <c r="P2" s="490"/>
      <c r="Q2" s="490"/>
      <c r="R2" s="490"/>
      <c r="S2" s="490"/>
      <c r="T2" s="491" t="s">
        <v>233</v>
      </c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 t="s">
        <v>234</v>
      </c>
      <c r="AF2" s="491"/>
      <c r="AG2" s="491"/>
      <c r="AH2" s="491"/>
      <c r="AI2" s="491"/>
      <c r="AJ2" s="491"/>
      <c r="AK2" s="491"/>
      <c r="AL2" s="491"/>
      <c r="AM2" s="491"/>
      <c r="AN2" s="491"/>
      <c r="AO2" s="486" t="s">
        <v>235</v>
      </c>
      <c r="AP2" s="487"/>
      <c r="AQ2" s="487"/>
      <c r="AR2" s="487"/>
      <c r="AS2" s="487"/>
      <c r="AT2" s="487"/>
      <c r="AU2" s="487"/>
      <c r="AV2" s="488"/>
      <c r="AW2" s="486" t="s">
        <v>428</v>
      </c>
      <c r="AX2" s="487"/>
      <c r="AY2" s="487"/>
      <c r="AZ2" s="487"/>
      <c r="BA2" s="487"/>
      <c r="BB2" s="487"/>
      <c r="BC2" s="487"/>
      <c r="BD2" s="488"/>
      <c r="BE2" s="491" t="s">
        <v>207</v>
      </c>
      <c r="BF2" s="491"/>
      <c r="BG2" s="491" t="s">
        <v>208</v>
      </c>
      <c r="BH2" s="491"/>
      <c r="BI2" s="491" t="s">
        <v>209</v>
      </c>
      <c r="BJ2" s="491"/>
      <c r="BK2" s="491"/>
    </row>
    <row r="3" spans="1:64" ht="14.25">
      <c r="A3" s="214" t="s">
        <v>210</v>
      </c>
      <c r="B3" s="214" t="s">
        <v>0</v>
      </c>
      <c r="C3" s="215">
        <v>8</v>
      </c>
      <c r="D3" s="213">
        <v>9</v>
      </c>
      <c r="E3" s="215">
        <v>10</v>
      </c>
      <c r="F3" s="213">
        <v>11</v>
      </c>
      <c r="G3" s="215">
        <v>12</v>
      </c>
      <c r="H3" s="213">
        <v>13</v>
      </c>
      <c r="I3" s="215">
        <v>14</v>
      </c>
      <c r="J3" s="216" t="s">
        <v>534</v>
      </c>
      <c r="K3" s="215">
        <v>8</v>
      </c>
      <c r="L3" s="213">
        <v>9</v>
      </c>
      <c r="M3" s="215">
        <v>10</v>
      </c>
      <c r="N3" s="213">
        <v>11</v>
      </c>
      <c r="O3" s="215">
        <v>12</v>
      </c>
      <c r="P3" s="213">
        <v>13</v>
      </c>
      <c r="Q3" s="215">
        <v>14</v>
      </c>
      <c r="R3" s="284"/>
      <c r="S3" s="216" t="s">
        <v>533</v>
      </c>
      <c r="T3" s="213">
        <v>8</v>
      </c>
      <c r="U3" s="213">
        <v>9</v>
      </c>
      <c r="V3" s="213">
        <v>10</v>
      </c>
      <c r="W3" s="213">
        <v>11</v>
      </c>
      <c r="X3" s="213">
        <v>12</v>
      </c>
      <c r="Y3" s="213">
        <v>13</v>
      </c>
      <c r="Z3" s="213">
        <v>14</v>
      </c>
      <c r="AA3" s="213" t="s">
        <v>532</v>
      </c>
      <c r="AB3" s="213" t="s">
        <v>532</v>
      </c>
      <c r="AC3" s="213" t="s">
        <v>532</v>
      </c>
      <c r="AD3" s="216" t="s">
        <v>534</v>
      </c>
      <c r="AE3" s="213">
        <v>8</v>
      </c>
      <c r="AF3" s="213">
        <v>9</v>
      </c>
      <c r="AG3" s="213">
        <v>10</v>
      </c>
      <c r="AH3" s="213">
        <v>11</v>
      </c>
      <c r="AI3" s="213">
        <v>12</v>
      </c>
      <c r="AJ3" s="213">
        <v>13</v>
      </c>
      <c r="AK3" s="213">
        <v>14</v>
      </c>
      <c r="AL3" s="213" t="s">
        <v>532</v>
      </c>
      <c r="AM3" s="213" t="s">
        <v>532</v>
      </c>
      <c r="AN3" s="216" t="s">
        <v>534</v>
      </c>
      <c r="AO3" s="213">
        <v>8</v>
      </c>
      <c r="AP3" s="213">
        <v>9</v>
      </c>
      <c r="AQ3" s="213">
        <v>10</v>
      </c>
      <c r="AR3" s="213">
        <v>11</v>
      </c>
      <c r="AS3" s="213">
        <v>12</v>
      </c>
      <c r="AT3" s="213">
        <v>13</v>
      </c>
      <c r="AU3" s="213">
        <v>14</v>
      </c>
      <c r="AV3" s="216" t="s">
        <v>534</v>
      </c>
      <c r="AW3" s="213">
        <v>8</v>
      </c>
      <c r="AX3" s="213">
        <v>9</v>
      </c>
      <c r="AY3" s="213">
        <v>10</v>
      </c>
      <c r="AZ3" s="213">
        <v>11</v>
      </c>
      <c r="BA3" s="213">
        <v>12</v>
      </c>
      <c r="BB3" s="213">
        <v>13</v>
      </c>
      <c r="BC3" s="213">
        <v>14</v>
      </c>
      <c r="BD3" s="216" t="s">
        <v>534</v>
      </c>
      <c r="BE3" s="216" t="s">
        <v>211</v>
      </c>
      <c r="BF3" s="216" t="s">
        <v>212</v>
      </c>
      <c r="BG3" s="216" t="s">
        <v>211</v>
      </c>
      <c r="BH3" s="216" t="s">
        <v>212</v>
      </c>
      <c r="BI3" s="216" t="s">
        <v>211</v>
      </c>
      <c r="BJ3" s="216" t="s">
        <v>212</v>
      </c>
      <c r="BK3" s="216" t="s">
        <v>213</v>
      </c>
    </row>
    <row r="4" spans="1:64" ht="18.75" customHeight="1">
      <c r="A4" s="147">
        <v>1</v>
      </c>
      <c r="B4" s="135" t="str">
        <f>VLOOKUP(A4,緊急聯絡!A$2:C$27,3,0)</f>
        <v>陳威劭</v>
      </c>
      <c r="C4" s="213">
        <v>88</v>
      </c>
      <c r="D4" s="213">
        <v>98</v>
      </c>
      <c r="E4" s="213">
        <v>94</v>
      </c>
      <c r="F4" s="213">
        <v>100</v>
      </c>
      <c r="G4" s="213">
        <v>95</v>
      </c>
      <c r="H4" s="213">
        <v>100</v>
      </c>
      <c r="I4" s="213">
        <v>100</v>
      </c>
      <c r="J4" s="213">
        <f>AVERAGE(C4:I4)</f>
        <v>96.428571428571431</v>
      </c>
      <c r="K4" s="213">
        <v>88</v>
      </c>
      <c r="L4" s="213">
        <v>93</v>
      </c>
      <c r="M4" s="213">
        <v>93</v>
      </c>
      <c r="N4" s="213">
        <v>93</v>
      </c>
      <c r="O4" s="213">
        <v>88</v>
      </c>
      <c r="P4" s="213">
        <v>88</v>
      </c>
      <c r="Q4" s="213">
        <v>93</v>
      </c>
      <c r="R4" s="213">
        <v>93</v>
      </c>
      <c r="S4" s="213">
        <f>AVERAGE(K4:R4)</f>
        <v>91.125</v>
      </c>
      <c r="T4" s="214">
        <v>90</v>
      </c>
      <c r="U4" s="213">
        <v>91</v>
      </c>
      <c r="V4" s="213">
        <v>92</v>
      </c>
      <c r="W4" s="213">
        <v>91</v>
      </c>
      <c r="X4" s="213">
        <v>89</v>
      </c>
      <c r="Y4" s="213">
        <v>95</v>
      </c>
      <c r="Z4" s="213">
        <v>93</v>
      </c>
      <c r="AA4" s="213"/>
      <c r="AB4" s="213"/>
      <c r="AC4" s="213"/>
      <c r="AD4" s="213">
        <f>AVERAGE(T4:AC4)</f>
        <v>91.571428571428569</v>
      </c>
      <c r="AE4" s="213">
        <v>92</v>
      </c>
      <c r="AF4" s="213">
        <v>87</v>
      </c>
      <c r="AG4" s="213">
        <v>92</v>
      </c>
      <c r="AH4" s="213">
        <v>90</v>
      </c>
      <c r="AI4" s="213">
        <v>93</v>
      </c>
      <c r="AJ4" s="213">
        <v>98</v>
      </c>
      <c r="AK4" s="213"/>
      <c r="AL4" s="213"/>
      <c r="AM4" s="213"/>
      <c r="AN4" s="213">
        <f>AVERAGE(AE4:AM4)</f>
        <v>92</v>
      </c>
      <c r="AO4" s="213">
        <v>100</v>
      </c>
      <c r="AP4" s="213">
        <v>96</v>
      </c>
      <c r="AQ4" s="213">
        <v>86</v>
      </c>
      <c r="AR4" s="213">
        <v>90</v>
      </c>
      <c r="AS4" s="213">
        <v>90</v>
      </c>
      <c r="AT4" s="213">
        <v>95</v>
      </c>
      <c r="AU4" s="213">
        <v>100</v>
      </c>
      <c r="AV4" s="213">
        <f>AVERAGE(AO4:AU4)</f>
        <v>93.857142857142861</v>
      </c>
      <c r="AW4" s="213">
        <v>95</v>
      </c>
      <c r="AX4" s="213">
        <v>98</v>
      </c>
      <c r="AY4" s="213">
        <v>96</v>
      </c>
      <c r="AZ4" s="213">
        <v>87</v>
      </c>
      <c r="BA4" s="213">
        <v>93</v>
      </c>
      <c r="BB4" s="213">
        <v>97</v>
      </c>
      <c r="BC4" s="213">
        <v>94</v>
      </c>
      <c r="BD4" s="213">
        <f>AVERAGE(AW4:BC4)</f>
        <v>94.285714285714292</v>
      </c>
      <c r="BE4" s="213"/>
      <c r="BF4" s="317">
        <f t="shared" ref="BF4:BF29" si="0">AVERAGE(S4,J4,AD4,AN4,AV4,BD4)+BE4</f>
        <v>93.211309523809533</v>
      </c>
      <c r="BG4" s="218"/>
      <c r="BH4" s="213">
        <v>83</v>
      </c>
      <c r="BI4" s="213" t="e">
        <f>AVERAGE(BE4,BG4)</f>
        <v>#DIV/0!</v>
      </c>
      <c r="BJ4" s="213">
        <f>AVERAGE(BF4,BH4)</f>
        <v>88.105654761904759</v>
      </c>
      <c r="BK4" s="213" t="e">
        <f>AVERAGE(BI4:BJ4)</f>
        <v>#DIV/0!</v>
      </c>
      <c r="BL4" s="59">
        <f>BH4-BG4</f>
        <v>83</v>
      </c>
    </row>
    <row r="5" spans="1:64" ht="18.75" customHeight="1">
      <c r="A5" s="147">
        <v>2</v>
      </c>
      <c r="B5" s="135" t="str">
        <f>VLOOKUP(A5,緊急聯絡!A$2:C$27,3,0)</f>
        <v>周宗慶</v>
      </c>
      <c r="C5" s="213">
        <v>102</v>
      </c>
      <c r="D5" s="213">
        <v>103</v>
      </c>
      <c r="E5" s="213">
        <v>100</v>
      </c>
      <c r="F5" s="213">
        <v>102</v>
      </c>
      <c r="G5" s="213">
        <v>101</v>
      </c>
      <c r="H5" s="213">
        <v>101</v>
      </c>
      <c r="I5" s="213">
        <v>101</v>
      </c>
      <c r="J5" s="213">
        <f t="shared" ref="J5:J29" si="1">AVERAGE(C5:I5)</f>
        <v>101.42857142857143</v>
      </c>
      <c r="K5" s="213">
        <v>98</v>
      </c>
      <c r="L5" s="213">
        <v>98</v>
      </c>
      <c r="M5" s="213">
        <v>93</v>
      </c>
      <c r="N5" s="213">
        <v>93</v>
      </c>
      <c r="O5" s="213">
        <v>98</v>
      </c>
      <c r="P5" s="213">
        <v>98</v>
      </c>
      <c r="Q5" s="213">
        <v>88</v>
      </c>
      <c r="R5" s="213">
        <v>93</v>
      </c>
      <c r="S5" s="213">
        <f>AVERAGE(K5:R5)</f>
        <v>94.875</v>
      </c>
      <c r="T5" s="214">
        <v>100</v>
      </c>
      <c r="U5" s="213">
        <v>98</v>
      </c>
      <c r="V5" s="213">
        <v>98</v>
      </c>
      <c r="W5" s="213">
        <v>100</v>
      </c>
      <c r="X5" s="213">
        <v>99</v>
      </c>
      <c r="Y5" s="213">
        <v>95</v>
      </c>
      <c r="Z5" s="213">
        <v>98</v>
      </c>
      <c r="AA5" s="213"/>
      <c r="AB5" s="213"/>
      <c r="AC5" s="213"/>
      <c r="AD5" s="213">
        <f t="shared" ref="AD5:AD29" si="2">AVERAGE(T5:AC5)</f>
        <v>98.285714285714292</v>
      </c>
      <c r="AE5" s="213">
        <v>90</v>
      </c>
      <c r="AF5" s="213">
        <v>97</v>
      </c>
      <c r="AG5" s="213">
        <v>91</v>
      </c>
      <c r="AH5" s="213">
        <v>96</v>
      </c>
      <c r="AI5" s="213">
        <v>95</v>
      </c>
      <c r="AJ5" s="213">
        <v>92</v>
      </c>
      <c r="AK5" s="213"/>
      <c r="AL5" s="213"/>
      <c r="AM5" s="213"/>
      <c r="AN5" s="213">
        <f t="shared" ref="AN5:AN29" si="3">AVERAGE(AE5:AM5)</f>
        <v>93.5</v>
      </c>
      <c r="AO5" s="213">
        <v>100</v>
      </c>
      <c r="AP5" s="213">
        <v>90</v>
      </c>
      <c r="AQ5" s="213">
        <v>100</v>
      </c>
      <c r="AR5" s="213">
        <v>100</v>
      </c>
      <c r="AS5" s="213">
        <v>100</v>
      </c>
      <c r="AT5" s="213">
        <v>95</v>
      </c>
      <c r="AU5" s="213">
        <v>100</v>
      </c>
      <c r="AV5" s="213">
        <f t="shared" ref="AV5:AV29" si="4">AVERAGE(AO5:AU5)</f>
        <v>97.857142857142861</v>
      </c>
      <c r="AW5" s="213">
        <v>95</v>
      </c>
      <c r="AX5" s="213">
        <v>99</v>
      </c>
      <c r="AY5" s="213">
        <v>90</v>
      </c>
      <c r="AZ5" s="213">
        <v>92</v>
      </c>
      <c r="BA5" s="213">
        <v>98</v>
      </c>
      <c r="BB5" s="213">
        <v>84</v>
      </c>
      <c r="BC5" s="213">
        <v>94</v>
      </c>
      <c r="BD5" s="213">
        <f t="shared" ref="BD5:BD29" si="5">AVERAGE(AW5:BC5)</f>
        <v>93.142857142857139</v>
      </c>
      <c r="BE5" s="213"/>
      <c r="BF5" s="317">
        <f t="shared" si="0"/>
        <v>96.514880952380949</v>
      </c>
      <c r="BG5" s="218"/>
      <c r="BH5" s="213">
        <v>98</v>
      </c>
      <c r="BI5" s="213" t="e">
        <f t="shared" ref="BI5:BJ26" si="6">AVERAGE(BE5,BG5)</f>
        <v>#DIV/0!</v>
      </c>
      <c r="BJ5" s="213">
        <f t="shared" si="6"/>
        <v>97.257440476190482</v>
      </c>
      <c r="BK5" s="213" t="e">
        <f t="shared" ref="BK5:BK29" si="7">AVERAGE(BI5:BJ5)</f>
        <v>#DIV/0!</v>
      </c>
      <c r="BL5" s="59">
        <f t="shared" ref="BL5:BL29" si="8">BH5-BG5</f>
        <v>98</v>
      </c>
    </row>
    <row r="6" spans="1:64" ht="18.75" customHeight="1">
      <c r="A6" s="147">
        <v>3</v>
      </c>
      <c r="B6" s="135" t="str">
        <f>VLOOKUP(A6,緊急聯絡!A$2:C$27,3,0)</f>
        <v>林昱任</v>
      </c>
      <c r="C6" s="213">
        <v>100</v>
      </c>
      <c r="D6" s="213">
        <v>87</v>
      </c>
      <c r="E6" s="213">
        <v>97</v>
      </c>
      <c r="F6" s="213">
        <v>100</v>
      </c>
      <c r="G6" s="213">
        <v>100</v>
      </c>
      <c r="H6" s="213">
        <v>99</v>
      </c>
      <c r="I6" s="213">
        <v>100</v>
      </c>
      <c r="J6" s="213">
        <f t="shared" si="1"/>
        <v>97.571428571428569</v>
      </c>
      <c r="K6" s="213">
        <v>88</v>
      </c>
      <c r="L6" s="213">
        <v>98</v>
      </c>
      <c r="M6" s="213">
        <v>93</v>
      </c>
      <c r="N6" s="213">
        <v>93</v>
      </c>
      <c r="O6" s="213">
        <v>98</v>
      </c>
      <c r="P6" s="213">
        <v>93</v>
      </c>
      <c r="Q6" s="213">
        <v>93</v>
      </c>
      <c r="R6" s="213">
        <v>93</v>
      </c>
      <c r="S6" s="213">
        <f>AVERAGE(K6:R6)</f>
        <v>93.625</v>
      </c>
      <c r="T6" s="214">
        <v>78</v>
      </c>
      <c r="U6" s="213">
        <v>80</v>
      </c>
      <c r="V6" s="213">
        <v>89</v>
      </c>
      <c r="W6" s="213">
        <v>91</v>
      </c>
      <c r="X6" s="213">
        <v>82</v>
      </c>
      <c r="Y6" s="213">
        <v>94</v>
      </c>
      <c r="Z6" s="213">
        <v>76</v>
      </c>
      <c r="AA6" s="213"/>
      <c r="AB6" s="213"/>
      <c r="AC6" s="213"/>
      <c r="AD6" s="213">
        <f t="shared" si="2"/>
        <v>84.285714285714292</v>
      </c>
      <c r="AE6" s="213">
        <v>92</v>
      </c>
      <c r="AF6" s="213">
        <v>92</v>
      </c>
      <c r="AG6" s="213">
        <v>94</v>
      </c>
      <c r="AH6" s="213">
        <v>97</v>
      </c>
      <c r="AI6" s="213">
        <v>96</v>
      </c>
      <c r="AJ6" s="213">
        <v>98</v>
      </c>
      <c r="AK6" s="213"/>
      <c r="AL6" s="213"/>
      <c r="AM6" s="213"/>
      <c r="AN6" s="213">
        <f t="shared" si="3"/>
        <v>94.833333333333329</v>
      </c>
      <c r="AO6" s="213">
        <v>94</v>
      </c>
      <c r="AP6" s="213">
        <v>96</v>
      </c>
      <c r="AQ6" s="213">
        <v>96</v>
      </c>
      <c r="AR6" s="213">
        <v>100</v>
      </c>
      <c r="AS6" s="213">
        <v>95</v>
      </c>
      <c r="AT6" s="213">
        <v>98</v>
      </c>
      <c r="AU6" s="213">
        <v>98</v>
      </c>
      <c r="AV6" s="213">
        <f t="shared" si="4"/>
        <v>96.714285714285708</v>
      </c>
      <c r="AW6" s="213">
        <v>98</v>
      </c>
      <c r="AX6" s="213">
        <v>97</v>
      </c>
      <c r="AY6" s="213">
        <v>98</v>
      </c>
      <c r="AZ6" s="213">
        <v>82</v>
      </c>
      <c r="BA6" s="213">
        <v>97</v>
      </c>
      <c r="BB6" s="213">
        <v>95</v>
      </c>
      <c r="BC6" s="213">
        <v>100</v>
      </c>
      <c r="BD6" s="213">
        <f t="shared" si="5"/>
        <v>95.285714285714292</v>
      </c>
      <c r="BE6" s="213"/>
      <c r="BF6" s="317">
        <f t="shared" si="0"/>
        <v>93.719246031746025</v>
      </c>
      <c r="BG6" s="218"/>
      <c r="BH6" s="213">
        <v>70</v>
      </c>
      <c r="BI6" s="213" t="e">
        <f t="shared" si="6"/>
        <v>#DIV/0!</v>
      </c>
      <c r="BJ6" s="213">
        <f t="shared" si="6"/>
        <v>81.859623015873012</v>
      </c>
      <c r="BK6" s="213" t="e">
        <f t="shared" si="7"/>
        <v>#DIV/0!</v>
      </c>
      <c r="BL6" s="59">
        <f t="shared" si="8"/>
        <v>70</v>
      </c>
    </row>
    <row r="7" spans="1:64" ht="18.75" customHeight="1">
      <c r="A7" s="147">
        <v>4</v>
      </c>
      <c r="B7" s="135" t="str">
        <f>VLOOKUP(A7,緊急聯絡!A$2:C$27,3,0)</f>
        <v>李奎煜</v>
      </c>
      <c r="C7" s="213">
        <v>100</v>
      </c>
      <c r="D7" s="213">
        <v>103</v>
      </c>
      <c r="E7" s="213">
        <v>100</v>
      </c>
      <c r="F7" s="213">
        <v>100</v>
      </c>
      <c r="G7" s="213">
        <v>100</v>
      </c>
      <c r="H7" s="213">
        <v>101</v>
      </c>
      <c r="I7" s="213">
        <v>101</v>
      </c>
      <c r="J7" s="213">
        <f t="shared" si="1"/>
        <v>100.71428571428571</v>
      </c>
      <c r="K7" s="213">
        <v>98</v>
      </c>
      <c r="L7" s="213">
        <v>100</v>
      </c>
      <c r="M7" s="213">
        <v>93</v>
      </c>
      <c r="N7" s="213">
        <v>98</v>
      </c>
      <c r="O7" s="213">
        <v>98</v>
      </c>
      <c r="P7" s="213">
        <v>100</v>
      </c>
      <c r="Q7" s="213">
        <v>98</v>
      </c>
      <c r="R7" s="213">
        <v>100</v>
      </c>
      <c r="S7" s="213">
        <f>AVERAGE(K7:R7)</f>
        <v>98.125</v>
      </c>
      <c r="T7" s="214">
        <v>100</v>
      </c>
      <c r="U7" s="213">
        <v>98</v>
      </c>
      <c r="V7" s="213">
        <v>97</v>
      </c>
      <c r="W7" s="213">
        <v>100</v>
      </c>
      <c r="X7" s="213">
        <v>100</v>
      </c>
      <c r="Y7" s="213">
        <v>100</v>
      </c>
      <c r="Z7" s="213">
        <v>100</v>
      </c>
      <c r="AA7" s="213"/>
      <c r="AB7" s="213"/>
      <c r="AC7" s="213"/>
      <c r="AD7" s="213">
        <f t="shared" si="2"/>
        <v>99.285714285714292</v>
      </c>
      <c r="AE7" s="213">
        <v>95</v>
      </c>
      <c r="AF7" s="213">
        <v>97</v>
      </c>
      <c r="AG7" s="213">
        <v>100</v>
      </c>
      <c r="AH7" s="213">
        <v>98</v>
      </c>
      <c r="AI7" s="213">
        <v>89</v>
      </c>
      <c r="AJ7" s="213">
        <v>100</v>
      </c>
      <c r="AK7" s="213"/>
      <c r="AL7" s="213"/>
      <c r="AM7" s="213"/>
      <c r="AN7" s="213">
        <f t="shared" si="3"/>
        <v>96.5</v>
      </c>
      <c r="AO7" s="213">
        <v>100</v>
      </c>
      <c r="AP7" s="213">
        <v>100</v>
      </c>
      <c r="AQ7" s="213">
        <v>100</v>
      </c>
      <c r="AR7" s="213">
        <v>91</v>
      </c>
      <c r="AS7" s="213">
        <v>100</v>
      </c>
      <c r="AT7" s="213">
        <v>100</v>
      </c>
      <c r="AU7" s="213">
        <v>100</v>
      </c>
      <c r="AV7" s="213">
        <f t="shared" si="4"/>
        <v>98.714285714285708</v>
      </c>
      <c r="AW7" s="213">
        <v>99</v>
      </c>
      <c r="AX7" s="213">
        <v>96</v>
      </c>
      <c r="AY7" s="213">
        <v>100</v>
      </c>
      <c r="AZ7" s="213">
        <v>100</v>
      </c>
      <c r="BA7" s="213">
        <v>100</v>
      </c>
      <c r="BB7" s="213">
        <v>100</v>
      </c>
      <c r="BC7" s="213">
        <v>98</v>
      </c>
      <c r="BD7" s="213">
        <f t="shared" si="5"/>
        <v>99</v>
      </c>
      <c r="BE7" s="213"/>
      <c r="BF7" s="317">
        <f t="shared" si="0"/>
        <v>98.723214285714292</v>
      </c>
      <c r="BG7" s="218"/>
      <c r="BH7" s="213">
        <v>96</v>
      </c>
      <c r="BI7" s="213" t="e">
        <f t="shared" si="6"/>
        <v>#DIV/0!</v>
      </c>
      <c r="BJ7" s="213">
        <f t="shared" si="6"/>
        <v>97.361607142857139</v>
      </c>
      <c r="BK7" s="213" t="e">
        <f t="shared" si="7"/>
        <v>#DIV/0!</v>
      </c>
      <c r="BL7" s="59">
        <f t="shared" si="8"/>
        <v>96</v>
      </c>
    </row>
    <row r="8" spans="1:64" ht="18.75" customHeight="1">
      <c r="A8" s="147">
        <v>5</v>
      </c>
      <c r="B8" s="135" t="str">
        <f>VLOOKUP(A8,緊急聯絡!A$2:C$27,3,0)</f>
        <v>葉翃均</v>
      </c>
      <c r="C8" s="213">
        <v>96</v>
      </c>
      <c r="D8" s="213">
        <v>100</v>
      </c>
      <c r="E8" s="213">
        <v>100</v>
      </c>
      <c r="F8" s="213">
        <v>95</v>
      </c>
      <c r="G8" s="213">
        <v>100</v>
      </c>
      <c r="H8" s="213">
        <v>99</v>
      </c>
      <c r="I8" s="213">
        <v>100</v>
      </c>
      <c r="J8" s="213">
        <f t="shared" si="1"/>
        <v>98.571428571428569</v>
      </c>
      <c r="K8" s="213">
        <v>83</v>
      </c>
      <c r="L8" s="213">
        <v>88</v>
      </c>
      <c r="M8" s="213">
        <v>93</v>
      </c>
      <c r="N8" s="213">
        <v>93</v>
      </c>
      <c r="O8" s="213">
        <v>93</v>
      </c>
      <c r="P8" s="213">
        <v>93</v>
      </c>
      <c r="Q8" s="213">
        <v>93</v>
      </c>
      <c r="R8" s="213">
        <v>93</v>
      </c>
      <c r="S8" s="213">
        <f>AVERAGE(K8:R8)</f>
        <v>91.125</v>
      </c>
      <c r="T8" s="214">
        <v>97</v>
      </c>
      <c r="U8" s="213">
        <v>90</v>
      </c>
      <c r="V8" s="213">
        <v>84</v>
      </c>
      <c r="W8" s="213">
        <v>99</v>
      </c>
      <c r="X8" s="213">
        <v>94</v>
      </c>
      <c r="Y8" s="213">
        <v>93</v>
      </c>
      <c r="Z8" s="213">
        <v>98</v>
      </c>
      <c r="AA8" s="213"/>
      <c r="AB8" s="213"/>
      <c r="AC8" s="213"/>
      <c r="AD8" s="213">
        <f t="shared" si="2"/>
        <v>93.571428571428569</v>
      </c>
      <c r="AE8" s="213">
        <v>97</v>
      </c>
      <c r="AF8" s="213">
        <v>95</v>
      </c>
      <c r="AG8" s="213">
        <v>98</v>
      </c>
      <c r="AH8" s="213">
        <v>98</v>
      </c>
      <c r="AI8" s="213">
        <v>98</v>
      </c>
      <c r="AJ8" s="213">
        <v>100</v>
      </c>
      <c r="AK8" s="213"/>
      <c r="AL8" s="213"/>
      <c r="AM8" s="213"/>
      <c r="AN8" s="213">
        <f t="shared" si="3"/>
        <v>97.666666666666671</v>
      </c>
      <c r="AO8" s="213">
        <v>99</v>
      </c>
      <c r="AP8" s="213">
        <v>90</v>
      </c>
      <c r="AQ8" s="213">
        <v>95</v>
      </c>
      <c r="AR8" s="213">
        <v>100</v>
      </c>
      <c r="AS8" s="213">
        <v>100</v>
      </c>
      <c r="AT8" s="213">
        <v>100</v>
      </c>
      <c r="AU8" s="213">
        <v>90</v>
      </c>
      <c r="AV8" s="213">
        <f t="shared" si="4"/>
        <v>96.285714285714292</v>
      </c>
      <c r="AW8" s="213">
        <v>100</v>
      </c>
      <c r="AX8" s="213">
        <v>90</v>
      </c>
      <c r="AY8" s="213">
        <v>91</v>
      </c>
      <c r="AZ8" s="213">
        <v>94</v>
      </c>
      <c r="BA8" s="213">
        <v>100</v>
      </c>
      <c r="BB8" s="213">
        <v>100</v>
      </c>
      <c r="BC8" s="213">
        <v>98</v>
      </c>
      <c r="BD8" s="213">
        <f t="shared" si="5"/>
        <v>96.142857142857139</v>
      </c>
      <c r="BE8" s="213"/>
      <c r="BF8" s="317">
        <f t="shared" si="0"/>
        <v>95.560515873015859</v>
      </c>
      <c r="BG8" s="218"/>
      <c r="BH8" s="213">
        <v>91</v>
      </c>
      <c r="BI8" s="213" t="e">
        <f t="shared" si="6"/>
        <v>#DIV/0!</v>
      </c>
      <c r="BJ8" s="213">
        <f t="shared" si="6"/>
        <v>93.280257936507923</v>
      </c>
      <c r="BK8" s="213" t="e">
        <f t="shared" si="7"/>
        <v>#DIV/0!</v>
      </c>
      <c r="BL8" s="59">
        <f t="shared" si="8"/>
        <v>91</v>
      </c>
    </row>
    <row r="9" spans="1:64" ht="18.75" customHeight="1">
      <c r="A9" s="147">
        <v>6</v>
      </c>
      <c r="B9" s="135" t="str">
        <f>VLOOKUP(A9,緊急聯絡!A$2:C$27,3,0)</f>
        <v>王奕勳</v>
      </c>
      <c r="C9" s="213">
        <v>90</v>
      </c>
      <c r="D9" s="213">
        <v>100</v>
      </c>
      <c r="E9" s="213">
        <v>100</v>
      </c>
      <c r="F9" s="213">
        <v>92</v>
      </c>
      <c r="G9" s="213">
        <v>100</v>
      </c>
      <c r="H9" s="213">
        <v>100</v>
      </c>
      <c r="I9" s="213">
        <v>91</v>
      </c>
      <c r="J9" s="213">
        <f t="shared" si="1"/>
        <v>96.142857142857139</v>
      </c>
      <c r="K9" s="213">
        <v>98</v>
      </c>
      <c r="L9" s="213">
        <v>98</v>
      </c>
      <c r="M9" s="213">
        <v>98</v>
      </c>
      <c r="N9" s="213">
        <v>93</v>
      </c>
      <c r="O9" s="213">
        <v>98</v>
      </c>
      <c r="P9" s="213">
        <v>98</v>
      </c>
      <c r="Q9" s="213">
        <v>93</v>
      </c>
      <c r="R9" s="213"/>
      <c r="S9" s="213">
        <f>AVERAGE(K9:Q9)</f>
        <v>96.571428571428569</v>
      </c>
      <c r="T9" s="214">
        <v>80</v>
      </c>
      <c r="U9" s="213">
        <v>91</v>
      </c>
      <c r="V9" s="213">
        <v>87</v>
      </c>
      <c r="W9" s="213">
        <v>93</v>
      </c>
      <c r="X9" s="213">
        <v>83</v>
      </c>
      <c r="Y9" s="213">
        <v>90</v>
      </c>
      <c r="Z9" s="213">
        <v>86</v>
      </c>
      <c r="AA9" s="213"/>
      <c r="AB9" s="213"/>
      <c r="AC9" s="213"/>
      <c r="AD9" s="213">
        <f t="shared" si="2"/>
        <v>87.142857142857139</v>
      </c>
      <c r="AE9" s="213">
        <v>92</v>
      </c>
      <c r="AF9" s="213">
        <v>93</v>
      </c>
      <c r="AG9" s="213">
        <v>95</v>
      </c>
      <c r="AH9" s="213">
        <v>91</v>
      </c>
      <c r="AI9" s="213">
        <v>94</v>
      </c>
      <c r="AJ9" s="213">
        <v>92</v>
      </c>
      <c r="AK9" s="213"/>
      <c r="AL9" s="213"/>
      <c r="AM9" s="213"/>
      <c r="AN9" s="213">
        <f t="shared" si="3"/>
        <v>92.833333333333329</v>
      </c>
      <c r="AO9" s="213">
        <v>100</v>
      </c>
      <c r="AP9" s="213">
        <v>95</v>
      </c>
      <c r="AQ9" s="213">
        <v>100</v>
      </c>
      <c r="AR9" s="213">
        <v>80</v>
      </c>
      <c r="AS9" s="213">
        <v>100</v>
      </c>
      <c r="AT9" s="213">
        <v>100</v>
      </c>
      <c r="AU9" s="213">
        <v>100</v>
      </c>
      <c r="AV9" s="213">
        <f t="shared" si="4"/>
        <v>96.428571428571431</v>
      </c>
      <c r="AW9" s="213">
        <v>94</v>
      </c>
      <c r="AX9" s="213">
        <v>90</v>
      </c>
      <c r="AY9" s="213">
        <v>96</v>
      </c>
      <c r="AZ9" s="213">
        <v>94</v>
      </c>
      <c r="BA9" s="213">
        <v>94</v>
      </c>
      <c r="BB9" s="213">
        <v>100</v>
      </c>
      <c r="BC9" s="213">
        <v>95</v>
      </c>
      <c r="BD9" s="213">
        <f t="shared" si="5"/>
        <v>94.714285714285708</v>
      </c>
      <c r="BE9" s="213"/>
      <c r="BF9" s="317">
        <f t="shared" si="0"/>
        <v>93.972222222222229</v>
      </c>
      <c r="BG9" s="218"/>
      <c r="BH9" s="213">
        <v>93</v>
      </c>
      <c r="BI9" s="213" t="e">
        <f t="shared" si="6"/>
        <v>#DIV/0!</v>
      </c>
      <c r="BJ9" s="213">
        <f t="shared" si="6"/>
        <v>93.486111111111114</v>
      </c>
      <c r="BK9" s="213" t="e">
        <f t="shared" si="7"/>
        <v>#DIV/0!</v>
      </c>
      <c r="BL9" s="59">
        <f t="shared" si="8"/>
        <v>93</v>
      </c>
    </row>
    <row r="10" spans="1:64" ht="18.75" customHeight="1">
      <c r="A10" s="147">
        <v>7</v>
      </c>
      <c r="B10" s="135" t="str">
        <f>VLOOKUP(A10,緊急聯絡!A$2:C$27,3,0)</f>
        <v>葉彥均</v>
      </c>
      <c r="C10" s="213">
        <v>98</v>
      </c>
      <c r="D10" s="213">
        <v>92</v>
      </c>
      <c r="E10" s="213">
        <v>90</v>
      </c>
      <c r="F10" s="213">
        <v>90</v>
      </c>
      <c r="G10" s="213">
        <v>98</v>
      </c>
      <c r="H10" s="213">
        <v>95</v>
      </c>
      <c r="I10" s="213">
        <v>89</v>
      </c>
      <c r="J10" s="213">
        <f t="shared" si="1"/>
        <v>93.142857142857139</v>
      </c>
      <c r="K10" s="213">
        <v>93</v>
      </c>
      <c r="L10" s="213">
        <v>98</v>
      </c>
      <c r="M10" s="213">
        <v>88</v>
      </c>
      <c r="N10" s="213">
        <v>93</v>
      </c>
      <c r="O10" s="213">
        <v>98</v>
      </c>
      <c r="P10" s="213">
        <v>88</v>
      </c>
      <c r="Q10" s="213">
        <v>93</v>
      </c>
      <c r="R10" s="213">
        <v>88</v>
      </c>
      <c r="S10" s="213">
        <f>AVERAGE(K10:R10)</f>
        <v>92.375</v>
      </c>
      <c r="T10" s="214">
        <v>86</v>
      </c>
      <c r="U10" s="213">
        <v>76</v>
      </c>
      <c r="V10" s="213">
        <v>86</v>
      </c>
      <c r="W10" s="213">
        <v>94</v>
      </c>
      <c r="X10" s="213">
        <v>85</v>
      </c>
      <c r="Y10" s="213">
        <v>82</v>
      </c>
      <c r="Z10" s="213">
        <v>91</v>
      </c>
      <c r="AA10" s="213"/>
      <c r="AB10" s="213"/>
      <c r="AC10" s="213"/>
      <c r="AD10" s="213">
        <v>90</v>
      </c>
      <c r="AE10" s="213">
        <v>82</v>
      </c>
      <c r="AF10" s="213">
        <v>98</v>
      </c>
      <c r="AG10" s="213">
        <v>97</v>
      </c>
      <c r="AH10" s="213">
        <v>98</v>
      </c>
      <c r="AI10" s="213">
        <v>84</v>
      </c>
      <c r="AJ10" s="213">
        <v>98</v>
      </c>
      <c r="AK10" s="213"/>
      <c r="AL10" s="213"/>
      <c r="AM10" s="213"/>
      <c r="AN10" s="213">
        <f t="shared" si="3"/>
        <v>92.833333333333329</v>
      </c>
      <c r="AO10" s="213">
        <v>98</v>
      </c>
      <c r="AP10" s="213">
        <v>98</v>
      </c>
      <c r="AQ10" s="213">
        <v>100</v>
      </c>
      <c r="AR10" s="213">
        <v>95</v>
      </c>
      <c r="AS10" s="213">
        <v>98</v>
      </c>
      <c r="AT10" s="213">
        <v>98</v>
      </c>
      <c r="AU10" s="213">
        <v>90</v>
      </c>
      <c r="AV10" s="213">
        <f t="shared" si="4"/>
        <v>96.714285714285708</v>
      </c>
      <c r="AW10" s="213">
        <v>93</v>
      </c>
      <c r="AX10" s="213">
        <v>93</v>
      </c>
      <c r="AY10" s="213">
        <v>96</v>
      </c>
      <c r="AZ10" s="213">
        <v>92</v>
      </c>
      <c r="BA10" s="213">
        <v>94</v>
      </c>
      <c r="BB10" s="213">
        <v>95</v>
      </c>
      <c r="BC10" s="213">
        <v>90</v>
      </c>
      <c r="BD10" s="213">
        <f t="shared" si="5"/>
        <v>93.285714285714292</v>
      </c>
      <c r="BE10" s="213"/>
      <c r="BF10" s="317">
        <f t="shared" si="0"/>
        <v>93.058531746031747</v>
      </c>
      <c r="BG10" s="218"/>
      <c r="BH10" s="213">
        <v>68</v>
      </c>
      <c r="BI10" s="213" t="e">
        <f t="shared" si="6"/>
        <v>#DIV/0!</v>
      </c>
      <c r="BJ10" s="213">
        <f t="shared" si="6"/>
        <v>80.529265873015873</v>
      </c>
      <c r="BK10" s="213" t="e">
        <f t="shared" si="7"/>
        <v>#DIV/0!</v>
      </c>
      <c r="BL10" s="59">
        <f t="shared" si="8"/>
        <v>68</v>
      </c>
    </row>
    <row r="11" spans="1:64" ht="18.75" customHeight="1">
      <c r="A11" s="147">
        <v>8</v>
      </c>
      <c r="B11" s="135" t="str">
        <f>VLOOKUP(A11,緊急聯絡!A$2:C$27,3,0)</f>
        <v>洪楷珅</v>
      </c>
      <c r="C11" s="213">
        <v>93</v>
      </c>
      <c r="D11" s="213">
        <v>95</v>
      </c>
      <c r="E11" s="213">
        <v>90</v>
      </c>
      <c r="F11" s="213">
        <v>98</v>
      </c>
      <c r="G11" s="213">
        <v>100</v>
      </c>
      <c r="H11" s="213">
        <v>100</v>
      </c>
      <c r="I11" s="213">
        <v>98</v>
      </c>
      <c r="J11" s="213">
        <f t="shared" si="1"/>
        <v>96.285714285714292</v>
      </c>
      <c r="K11" s="213">
        <v>93</v>
      </c>
      <c r="L11" s="213">
        <v>98</v>
      </c>
      <c r="M11" s="213">
        <v>98</v>
      </c>
      <c r="N11" s="213">
        <v>88</v>
      </c>
      <c r="O11" s="213">
        <v>98</v>
      </c>
      <c r="P11" s="213">
        <v>98</v>
      </c>
      <c r="Q11" s="213">
        <v>98</v>
      </c>
      <c r="R11" s="213"/>
      <c r="S11" s="213">
        <f>AVERAGE(K11:Q11)</f>
        <v>95.857142857142861</v>
      </c>
      <c r="T11" s="214">
        <v>73</v>
      </c>
      <c r="U11" s="213">
        <v>89</v>
      </c>
      <c r="V11" s="213">
        <v>83</v>
      </c>
      <c r="W11" s="213">
        <v>95</v>
      </c>
      <c r="X11" s="213">
        <v>83</v>
      </c>
      <c r="Y11" s="213">
        <v>96</v>
      </c>
      <c r="Z11" s="213">
        <v>92</v>
      </c>
      <c r="AA11" s="213"/>
      <c r="AB11" s="213"/>
      <c r="AC11" s="213"/>
      <c r="AD11" s="213">
        <f t="shared" si="2"/>
        <v>87.285714285714292</v>
      </c>
      <c r="AE11" s="213">
        <v>98</v>
      </c>
      <c r="AF11" s="213">
        <v>97</v>
      </c>
      <c r="AG11" s="213">
        <v>92</v>
      </c>
      <c r="AH11" s="213">
        <v>97</v>
      </c>
      <c r="AI11" s="213">
        <v>95</v>
      </c>
      <c r="AJ11" s="213">
        <v>99</v>
      </c>
      <c r="AK11" s="213"/>
      <c r="AL11" s="213"/>
      <c r="AM11" s="213"/>
      <c r="AN11" s="213">
        <f t="shared" si="3"/>
        <v>96.333333333333329</v>
      </c>
      <c r="AO11" s="213">
        <v>95</v>
      </c>
      <c r="AP11" s="213">
        <v>98</v>
      </c>
      <c r="AQ11" s="213">
        <v>100</v>
      </c>
      <c r="AR11" s="213">
        <v>100</v>
      </c>
      <c r="AS11" s="213">
        <v>98</v>
      </c>
      <c r="AT11" s="213">
        <v>95</v>
      </c>
      <c r="AU11" s="213">
        <v>100</v>
      </c>
      <c r="AV11" s="213">
        <f t="shared" si="4"/>
        <v>98</v>
      </c>
      <c r="AW11" s="213">
        <v>90</v>
      </c>
      <c r="AX11" s="213">
        <v>100</v>
      </c>
      <c r="AY11" s="213">
        <v>96</v>
      </c>
      <c r="AZ11" s="213">
        <v>96</v>
      </c>
      <c r="BA11" s="213">
        <v>100</v>
      </c>
      <c r="BB11" s="213">
        <v>100</v>
      </c>
      <c r="BC11" s="213">
        <v>99</v>
      </c>
      <c r="BD11" s="213">
        <f t="shared" si="5"/>
        <v>97.285714285714292</v>
      </c>
      <c r="BE11" s="213"/>
      <c r="BF11" s="317">
        <f t="shared" si="0"/>
        <v>95.174603174603178</v>
      </c>
      <c r="BG11" s="218"/>
      <c r="BH11" s="213">
        <v>80</v>
      </c>
      <c r="BI11" s="213" t="e">
        <f t="shared" si="6"/>
        <v>#DIV/0!</v>
      </c>
      <c r="BJ11" s="213">
        <f t="shared" si="6"/>
        <v>87.587301587301596</v>
      </c>
      <c r="BK11" s="213" t="e">
        <f t="shared" si="7"/>
        <v>#DIV/0!</v>
      </c>
      <c r="BL11" s="59">
        <f t="shared" si="8"/>
        <v>80</v>
      </c>
    </row>
    <row r="12" spans="1:64" ht="18.75" customHeight="1">
      <c r="A12" s="147">
        <v>9</v>
      </c>
      <c r="B12" s="135" t="str">
        <f>VLOOKUP(A12,緊急聯絡!A$2:C$27,3,0)</f>
        <v>吳承哲</v>
      </c>
      <c r="C12" s="213">
        <v>100</v>
      </c>
      <c r="D12" s="213">
        <v>96</v>
      </c>
      <c r="E12" s="213">
        <v>96</v>
      </c>
      <c r="F12" s="213">
        <v>100</v>
      </c>
      <c r="G12" s="213">
        <v>100</v>
      </c>
      <c r="H12" s="213">
        <v>100</v>
      </c>
      <c r="I12" s="213">
        <v>100</v>
      </c>
      <c r="J12" s="213">
        <f t="shared" si="1"/>
        <v>98.857142857142861</v>
      </c>
      <c r="K12" s="213">
        <v>98</v>
      </c>
      <c r="L12" s="213">
        <v>100</v>
      </c>
      <c r="M12" s="213">
        <v>98</v>
      </c>
      <c r="N12" s="213">
        <v>98</v>
      </c>
      <c r="O12" s="213">
        <v>98</v>
      </c>
      <c r="P12" s="213">
        <v>100</v>
      </c>
      <c r="Q12" s="213">
        <v>93</v>
      </c>
      <c r="R12" s="213">
        <v>98</v>
      </c>
      <c r="S12" s="213">
        <f t="shared" ref="S12:S20" si="9">AVERAGE(K12:R12)</f>
        <v>97.875</v>
      </c>
      <c r="T12" s="214">
        <v>93</v>
      </c>
      <c r="U12" s="213">
        <v>94</v>
      </c>
      <c r="V12" s="213">
        <v>100</v>
      </c>
      <c r="W12" s="213">
        <v>100</v>
      </c>
      <c r="X12" s="213">
        <v>91</v>
      </c>
      <c r="Y12" s="213">
        <v>100</v>
      </c>
      <c r="Z12" s="213">
        <v>100</v>
      </c>
      <c r="AA12" s="213"/>
      <c r="AB12" s="213"/>
      <c r="AC12" s="213"/>
      <c r="AD12" s="213">
        <f t="shared" si="2"/>
        <v>96.857142857142861</v>
      </c>
      <c r="AE12" s="213">
        <v>94</v>
      </c>
      <c r="AF12" s="213">
        <v>98</v>
      </c>
      <c r="AG12" s="213">
        <v>98</v>
      </c>
      <c r="AH12" s="213">
        <v>96</v>
      </c>
      <c r="AI12" s="213">
        <v>100</v>
      </c>
      <c r="AJ12" s="213">
        <v>100</v>
      </c>
      <c r="AK12" s="213"/>
      <c r="AL12" s="213"/>
      <c r="AM12" s="213"/>
      <c r="AN12" s="213">
        <f t="shared" si="3"/>
        <v>97.666666666666671</v>
      </c>
      <c r="AO12" s="213">
        <v>100</v>
      </c>
      <c r="AP12" s="213">
        <v>100</v>
      </c>
      <c r="AQ12" s="213">
        <v>98</v>
      </c>
      <c r="AR12" s="213">
        <v>100</v>
      </c>
      <c r="AS12" s="213">
        <v>100</v>
      </c>
      <c r="AT12" s="213">
        <v>95</v>
      </c>
      <c r="AU12" s="213">
        <v>100</v>
      </c>
      <c r="AV12" s="213">
        <f t="shared" si="4"/>
        <v>99</v>
      </c>
      <c r="AW12" s="213">
        <v>100</v>
      </c>
      <c r="AX12" s="213">
        <v>100</v>
      </c>
      <c r="AY12" s="213">
        <v>96</v>
      </c>
      <c r="AZ12" s="213">
        <v>100</v>
      </c>
      <c r="BA12" s="213">
        <v>100</v>
      </c>
      <c r="BB12" s="213">
        <v>100</v>
      </c>
      <c r="BC12" s="213">
        <v>100</v>
      </c>
      <c r="BD12" s="213">
        <f t="shared" si="5"/>
        <v>99.428571428571431</v>
      </c>
      <c r="BE12" s="213"/>
      <c r="BF12" s="317">
        <f t="shared" si="0"/>
        <v>98.280753968253975</v>
      </c>
      <c r="BG12" s="218"/>
      <c r="BH12" s="213">
        <v>93</v>
      </c>
      <c r="BI12" s="213" t="e">
        <f t="shared" si="6"/>
        <v>#DIV/0!</v>
      </c>
      <c r="BJ12" s="213">
        <f t="shared" si="6"/>
        <v>95.640376984126988</v>
      </c>
      <c r="BK12" s="213" t="e">
        <f t="shared" si="7"/>
        <v>#DIV/0!</v>
      </c>
      <c r="BL12" s="59">
        <f t="shared" si="8"/>
        <v>93</v>
      </c>
    </row>
    <row r="13" spans="1:64" ht="18.75" customHeight="1">
      <c r="A13" s="147">
        <v>10</v>
      </c>
      <c r="B13" s="135" t="str">
        <f>VLOOKUP(A13,緊急聯絡!A$2:C$27,3,0)</f>
        <v>李宥霆</v>
      </c>
      <c r="C13" s="213">
        <v>100</v>
      </c>
      <c r="D13" s="213">
        <v>94</v>
      </c>
      <c r="E13" s="213">
        <v>92</v>
      </c>
      <c r="F13" s="213">
        <v>96</v>
      </c>
      <c r="G13" s="213">
        <v>92</v>
      </c>
      <c r="H13" s="213">
        <v>95</v>
      </c>
      <c r="I13" s="213">
        <v>100</v>
      </c>
      <c r="J13" s="213">
        <f t="shared" si="1"/>
        <v>95.571428571428569</v>
      </c>
      <c r="K13" s="213">
        <v>83</v>
      </c>
      <c r="L13" s="213">
        <v>93</v>
      </c>
      <c r="M13" s="213">
        <v>98</v>
      </c>
      <c r="N13" s="213">
        <v>98</v>
      </c>
      <c r="O13" s="213">
        <v>93</v>
      </c>
      <c r="P13" s="213">
        <v>98</v>
      </c>
      <c r="Q13" s="213">
        <v>93</v>
      </c>
      <c r="R13" s="213">
        <v>98</v>
      </c>
      <c r="S13" s="213">
        <f t="shared" si="9"/>
        <v>94.25</v>
      </c>
      <c r="T13" s="214">
        <v>82</v>
      </c>
      <c r="U13" s="213">
        <v>71</v>
      </c>
      <c r="V13" s="213">
        <v>85</v>
      </c>
      <c r="W13" s="213">
        <v>80</v>
      </c>
      <c r="X13" s="213">
        <v>70</v>
      </c>
      <c r="Y13" s="213">
        <v>79</v>
      </c>
      <c r="Z13" s="213">
        <v>73</v>
      </c>
      <c r="AA13" s="213"/>
      <c r="AB13" s="213"/>
      <c r="AC13" s="213"/>
      <c r="AD13" s="213">
        <f t="shared" si="2"/>
        <v>77.142857142857139</v>
      </c>
      <c r="AE13" s="213">
        <v>92</v>
      </c>
      <c r="AF13" s="213">
        <v>78</v>
      </c>
      <c r="AG13" s="213">
        <v>91</v>
      </c>
      <c r="AH13" s="213">
        <v>81</v>
      </c>
      <c r="AI13" s="213">
        <v>87</v>
      </c>
      <c r="AJ13" s="213">
        <v>94</v>
      </c>
      <c r="AK13" s="213"/>
      <c r="AL13" s="213"/>
      <c r="AM13" s="213"/>
      <c r="AN13" s="213">
        <f t="shared" si="3"/>
        <v>87.166666666666671</v>
      </c>
      <c r="AO13" s="213">
        <v>100</v>
      </c>
      <c r="AP13" s="213">
        <v>90</v>
      </c>
      <c r="AQ13" s="213">
        <v>92</v>
      </c>
      <c r="AR13" s="213">
        <v>80</v>
      </c>
      <c r="AS13" s="213">
        <v>98</v>
      </c>
      <c r="AT13" s="213">
        <v>95</v>
      </c>
      <c r="AU13" s="213">
        <v>100</v>
      </c>
      <c r="AV13" s="213">
        <f t="shared" si="4"/>
        <v>93.571428571428569</v>
      </c>
      <c r="AW13" s="213">
        <v>88</v>
      </c>
      <c r="AX13" s="213">
        <v>83</v>
      </c>
      <c r="AY13" s="213">
        <v>98</v>
      </c>
      <c r="AZ13" s="213">
        <v>70</v>
      </c>
      <c r="BA13" s="213">
        <v>97</v>
      </c>
      <c r="BB13" s="213">
        <v>93</v>
      </c>
      <c r="BC13" s="213">
        <v>75</v>
      </c>
      <c r="BD13" s="213">
        <f t="shared" si="5"/>
        <v>86.285714285714292</v>
      </c>
      <c r="BE13" s="213"/>
      <c r="BF13" s="317">
        <f t="shared" si="0"/>
        <v>88.998015873015859</v>
      </c>
      <c r="BG13" s="218"/>
      <c r="BH13" s="213">
        <v>76</v>
      </c>
      <c r="BI13" s="213" t="e">
        <f t="shared" si="6"/>
        <v>#DIV/0!</v>
      </c>
      <c r="BJ13" s="213">
        <f t="shared" si="6"/>
        <v>82.499007936507923</v>
      </c>
      <c r="BK13" s="213" t="e">
        <f t="shared" si="7"/>
        <v>#DIV/0!</v>
      </c>
      <c r="BL13" s="59">
        <f t="shared" si="8"/>
        <v>76</v>
      </c>
    </row>
    <row r="14" spans="1:64" ht="18.75" customHeight="1">
      <c r="A14" s="147">
        <v>11</v>
      </c>
      <c r="B14" s="135" t="str">
        <f>VLOOKUP(A14,緊急聯絡!A$2:C$27,3,0)</f>
        <v>柯皓哲</v>
      </c>
      <c r="C14" s="213">
        <v>90</v>
      </c>
      <c r="D14" s="213">
        <v>100</v>
      </c>
      <c r="E14" s="213">
        <v>100</v>
      </c>
      <c r="F14" s="213">
        <v>92</v>
      </c>
      <c r="G14" s="213">
        <v>100</v>
      </c>
      <c r="H14" s="213">
        <v>96</v>
      </c>
      <c r="I14" s="213">
        <v>98</v>
      </c>
      <c r="J14" s="213">
        <f t="shared" si="1"/>
        <v>96.571428571428569</v>
      </c>
      <c r="K14" s="213">
        <v>98</v>
      </c>
      <c r="L14" s="213">
        <v>93</v>
      </c>
      <c r="M14" s="213">
        <v>98</v>
      </c>
      <c r="N14" s="213">
        <v>98</v>
      </c>
      <c r="O14" s="213">
        <v>93</v>
      </c>
      <c r="P14" s="213">
        <v>93</v>
      </c>
      <c r="Q14" s="213">
        <v>93</v>
      </c>
      <c r="R14" s="213">
        <v>93</v>
      </c>
      <c r="S14" s="213">
        <f t="shared" si="9"/>
        <v>94.875</v>
      </c>
      <c r="T14" s="214">
        <v>95</v>
      </c>
      <c r="U14" s="213">
        <v>94</v>
      </c>
      <c r="V14" s="213">
        <v>92</v>
      </c>
      <c r="W14" s="213">
        <v>94</v>
      </c>
      <c r="X14" s="213">
        <v>86</v>
      </c>
      <c r="Y14" s="213">
        <v>100</v>
      </c>
      <c r="Z14" s="213">
        <v>96</v>
      </c>
      <c r="AA14" s="213"/>
      <c r="AB14" s="213"/>
      <c r="AC14" s="213"/>
      <c r="AD14" s="213">
        <f t="shared" si="2"/>
        <v>93.857142857142861</v>
      </c>
      <c r="AE14" s="213">
        <v>91</v>
      </c>
      <c r="AF14" s="213">
        <v>93</v>
      </c>
      <c r="AG14" s="213">
        <v>97</v>
      </c>
      <c r="AH14" s="213">
        <v>99</v>
      </c>
      <c r="AI14" s="213">
        <v>91</v>
      </c>
      <c r="AJ14" s="213">
        <v>99</v>
      </c>
      <c r="AK14" s="213"/>
      <c r="AL14" s="213"/>
      <c r="AM14" s="213"/>
      <c r="AN14" s="213">
        <f t="shared" si="3"/>
        <v>95</v>
      </c>
      <c r="AO14" s="213">
        <v>100</v>
      </c>
      <c r="AP14" s="213">
        <v>100</v>
      </c>
      <c r="AQ14" s="213">
        <v>100</v>
      </c>
      <c r="AR14" s="213">
        <v>100</v>
      </c>
      <c r="AS14" s="213">
        <v>98</v>
      </c>
      <c r="AT14" s="213">
        <v>100</v>
      </c>
      <c r="AU14" s="213">
        <v>100</v>
      </c>
      <c r="AV14" s="213">
        <f t="shared" si="4"/>
        <v>99.714285714285708</v>
      </c>
      <c r="AW14" s="213">
        <v>96</v>
      </c>
      <c r="AX14" s="213">
        <v>97</v>
      </c>
      <c r="AY14" s="213">
        <v>95</v>
      </c>
      <c r="AZ14" s="213">
        <v>97</v>
      </c>
      <c r="BA14" s="213">
        <v>97</v>
      </c>
      <c r="BB14" s="213">
        <v>97</v>
      </c>
      <c r="BC14" s="213">
        <v>99</v>
      </c>
      <c r="BD14" s="213">
        <f t="shared" si="5"/>
        <v>96.857142857142861</v>
      </c>
      <c r="BE14" s="213"/>
      <c r="BF14" s="317">
        <f t="shared" si="0"/>
        <v>96.145833333333329</v>
      </c>
      <c r="BG14" s="218"/>
      <c r="BH14" s="213">
        <v>89</v>
      </c>
      <c r="BI14" s="213" t="e">
        <f t="shared" si="6"/>
        <v>#DIV/0!</v>
      </c>
      <c r="BJ14" s="213">
        <f t="shared" si="6"/>
        <v>92.572916666666657</v>
      </c>
      <c r="BK14" s="213" t="e">
        <f t="shared" si="7"/>
        <v>#DIV/0!</v>
      </c>
      <c r="BL14" s="59">
        <f t="shared" si="8"/>
        <v>89</v>
      </c>
    </row>
    <row r="15" spans="1:64" ht="18.75" customHeight="1">
      <c r="A15" s="147">
        <v>12</v>
      </c>
      <c r="B15" s="135" t="str">
        <f>VLOOKUP(A15,緊急聯絡!A$2:C$27,3,0)</f>
        <v>魏宇謙</v>
      </c>
      <c r="C15" s="213">
        <v>102</v>
      </c>
      <c r="D15" s="213">
        <v>102</v>
      </c>
      <c r="E15" s="213">
        <v>102</v>
      </c>
      <c r="F15" s="213">
        <v>103</v>
      </c>
      <c r="G15" s="213">
        <v>102</v>
      </c>
      <c r="H15" s="213">
        <v>100</v>
      </c>
      <c r="I15" s="213">
        <v>102</v>
      </c>
      <c r="J15" s="213">
        <f t="shared" si="1"/>
        <v>101.85714285714286</v>
      </c>
      <c r="K15" s="213">
        <v>93</v>
      </c>
      <c r="L15" s="213">
        <v>98</v>
      </c>
      <c r="M15" s="213">
        <v>98</v>
      </c>
      <c r="N15" s="213">
        <v>98</v>
      </c>
      <c r="O15" s="213">
        <v>98</v>
      </c>
      <c r="P15" s="213">
        <v>98</v>
      </c>
      <c r="Q15" s="213">
        <v>98</v>
      </c>
      <c r="R15" s="213">
        <v>98</v>
      </c>
      <c r="S15" s="213">
        <f t="shared" si="9"/>
        <v>97.375</v>
      </c>
      <c r="T15" s="214">
        <v>96</v>
      </c>
      <c r="U15" s="213">
        <v>91</v>
      </c>
      <c r="V15" s="213">
        <v>88</v>
      </c>
      <c r="W15" s="213">
        <v>97</v>
      </c>
      <c r="X15" s="213">
        <v>87</v>
      </c>
      <c r="Y15" s="213">
        <v>98</v>
      </c>
      <c r="Z15" s="213">
        <v>94</v>
      </c>
      <c r="AA15" s="213"/>
      <c r="AB15" s="213"/>
      <c r="AC15" s="213"/>
      <c r="AD15" s="213">
        <f t="shared" si="2"/>
        <v>93</v>
      </c>
      <c r="AE15" s="213">
        <v>94</v>
      </c>
      <c r="AF15" s="213">
        <v>95</v>
      </c>
      <c r="AG15" s="213">
        <v>98</v>
      </c>
      <c r="AH15" s="213">
        <v>97</v>
      </c>
      <c r="AI15" s="213">
        <v>96</v>
      </c>
      <c r="AJ15" s="213">
        <v>100</v>
      </c>
      <c r="AK15" s="213"/>
      <c r="AL15" s="213"/>
      <c r="AM15" s="213"/>
      <c r="AN15" s="213">
        <f t="shared" si="3"/>
        <v>96.666666666666671</v>
      </c>
      <c r="AO15" s="213">
        <v>100</v>
      </c>
      <c r="AP15" s="213">
        <v>96</v>
      </c>
      <c r="AQ15" s="213">
        <v>95</v>
      </c>
      <c r="AR15" s="213">
        <v>96</v>
      </c>
      <c r="AS15" s="213">
        <v>98</v>
      </c>
      <c r="AT15" s="213">
        <v>98</v>
      </c>
      <c r="AU15" s="213">
        <v>100</v>
      </c>
      <c r="AV15" s="213">
        <f t="shared" si="4"/>
        <v>97.571428571428569</v>
      </c>
      <c r="AW15" s="213">
        <v>100</v>
      </c>
      <c r="AX15" s="213">
        <v>100</v>
      </c>
      <c r="AY15" s="213">
        <v>100</v>
      </c>
      <c r="AZ15" s="213">
        <v>99</v>
      </c>
      <c r="BA15" s="213">
        <v>98</v>
      </c>
      <c r="BB15" s="213">
        <v>99</v>
      </c>
      <c r="BC15" s="213">
        <v>100</v>
      </c>
      <c r="BD15" s="213">
        <f t="shared" si="5"/>
        <v>99.428571428571431</v>
      </c>
      <c r="BE15" s="213"/>
      <c r="BF15" s="317">
        <f t="shared" si="0"/>
        <v>97.649801587301582</v>
      </c>
      <c r="BG15" s="218"/>
      <c r="BH15" s="213">
        <v>98</v>
      </c>
      <c r="BI15" s="213" t="e">
        <f t="shared" si="6"/>
        <v>#DIV/0!</v>
      </c>
      <c r="BJ15" s="213">
        <f t="shared" si="6"/>
        <v>97.824900793650784</v>
      </c>
      <c r="BK15" s="213" t="e">
        <f t="shared" si="7"/>
        <v>#DIV/0!</v>
      </c>
      <c r="BL15" s="59">
        <f t="shared" si="8"/>
        <v>98</v>
      </c>
    </row>
    <row r="16" spans="1:64" ht="18.75" customHeight="1">
      <c r="A16" s="147">
        <v>13</v>
      </c>
      <c r="B16" s="135" t="str">
        <f>VLOOKUP(A16,緊急聯絡!A$2:C$27,3,0)</f>
        <v>林季曄</v>
      </c>
      <c r="C16" s="213">
        <v>100</v>
      </c>
      <c r="D16" s="213">
        <v>101</v>
      </c>
      <c r="E16" s="213">
        <v>99</v>
      </c>
      <c r="F16" s="213">
        <v>99</v>
      </c>
      <c r="G16" s="213">
        <v>94</v>
      </c>
      <c r="H16" s="213">
        <v>100</v>
      </c>
      <c r="I16" s="213">
        <v>101</v>
      </c>
      <c r="J16" s="213">
        <f t="shared" si="1"/>
        <v>99.142857142857139</v>
      </c>
      <c r="K16" s="213">
        <v>93</v>
      </c>
      <c r="L16" s="213">
        <v>93</v>
      </c>
      <c r="M16" s="213">
        <v>88</v>
      </c>
      <c r="N16" s="213">
        <v>93</v>
      </c>
      <c r="O16" s="213">
        <v>100</v>
      </c>
      <c r="P16" s="213">
        <v>98</v>
      </c>
      <c r="Q16" s="213">
        <v>88</v>
      </c>
      <c r="R16" s="213">
        <v>98</v>
      </c>
      <c r="S16" s="213">
        <f t="shared" si="9"/>
        <v>93.875</v>
      </c>
      <c r="T16" s="214">
        <v>97</v>
      </c>
      <c r="U16" s="213">
        <v>99</v>
      </c>
      <c r="V16" s="213">
        <v>90</v>
      </c>
      <c r="W16" s="213">
        <v>97</v>
      </c>
      <c r="X16" s="213">
        <v>95</v>
      </c>
      <c r="Y16" s="213">
        <v>93</v>
      </c>
      <c r="Z16" s="213">
        <v>93</v>
      </c>
      <c r="AA16" s="213"/>
      <c r="AB16" s="213"/>
      <c r="AC16" s="213"/>
      <c r="AD16" s="213">
        <f t="shared" si="2"/>
        <v>94.857142857142861</v>
      </c>
      <c r="AE16" s="213">
        <v>97</v>
      </c>
      <c r="AF16" s="213">
        <v>98</v>
      </c>
      <c r="AG16" s="213">
        <v>98</v>
      </c>
      <c r="AH16" s="213">
        <v>92</v>
      </c>
      <c r="AI16" s="213">
        <v>100</v>
      </c>
      <c r="AJ16" s="213">
        <v>100</v>
      </c>
      <c r="AK16" s="213"/>
      <c r="AL16" s="213"/>
      <c r="AM16" s="213"/>
      <c r="AN16" s="213">
        <f t="shared" si="3"/>
        <v>97.5</v>
      </c>
      <c r="AO16" s="213">
        <v>99</v>
      </c>
      <c r="AP16" s="213">
        <v>98</v>
      </c>
      <c r="AQ16" s="213">
        <v>95</v>
      </c>
      <c r="AR16" s="213">
        <v>100</v>
      </c>
      <c r="AS16" s="213">
        <v>96</v>
      </c>
      <c r="AT16" s="213">
        <v>95</v>
      </c>
      <c r="AU16" s="213">
        <v>98</v>
      </c>
      <c r="AV16" s="213">
        <f t="shared" si="4"/>
        <v>97.285714285714292</v>
      </c>
      <c r="AW16" s="213">
        <v>100</v>
      </c>
      <c r="AX16" s="213">
        <v>100</v>
      </c>
      <c r="AY16" s="213">
        <v>100</v>
      </c>
      <c r="AZ16" s="213">
        <v>100</v>
      </c>
      <c r="BA16" s="213">
        <v>100</v>
      </c>
      <c r="BB16" s="213">
        <v>100</v>
      </c>
      <c r="BC16" s="213">
        <v>100</v>
      </c>
      <c r="BD16" s="213">
        <f t="shared" si="5"/>
        <v>100</v>
      </c>
      <c r="BE16" s="213"/>
      <c r="BF16" s="317">
        <f t="shared" si="0"/>
        <v>97.110119047619037</v>
      </c>
      <c r="BG16" s="218"/>
      <c r="BH16" s="213">
        <v>90</v>
      </c>
      <c r="BI16" s="213" t="e">
        <f t="shared" si="6"/>
        <v>#DIV/0!</v>
      </c>
      <c r="BJ16" s="213">
        <f t="shared" si="6"/>
        <v>93.555059523809518</v>
      </c>
      <c r="BK16" s="213" t="e">
        <f t="shared" si="7"/>
        <v>#DIV/0!</v>
      </c>
      <c r="BL16" s="59">
        <f t="shared" si="8"/>
        <v>90</v>
      </c>
    </row>
    <row r="17" spans="1:66" ht="18.75" customHeight="1">
      <c r="A17" s="147">
        <v>14</v>
      </c>
      <c r="B17" s="135" t="str">
        <f>VLOOKUP(A17,緊急聯絡!A$2:C$27,3,0)</f>
        <v>高翊庭</v>
      </c>
      <c r="C17" s="213">
        <v>101</v>
      </c>
      <c r="D17" s="213">
        <v>98</v>
      </c>
      <c r="E17" s="213">
        <v>101</v>
      </c>
      <c r="F17" s="213">
        <v>100</v>
      </c>
      <c r="G17" s="213">
        <v>99</v>
      </c>
      <c r="H17" s="213">
        <v>96</v>
      </c>
      <c r="I17" s="213">
        <v>99</v>
      </c>
      <c r="J17" s="213">
        <f t="shared" si="1"/>
        <v>99.142857142857139</v>
      </c>
      <c r="K17" s="213">
        <v>100</v>
      </c>
      <c r="L17" s="213">
        <v>98</v>
      </c>
      <c r="M17" s="213">
        <v>98</v>
      </c>
      <c r="N17" s="213">
        <v>98</v>
      </c>
      <c r="O17" s="213">
        <v>98</v>
      </c>
      <c r="P17" s="213">
        <v>93</v>
      </c>
      <c r="Q17" s="213">
        <v>98</v>
      </c>
      <c r="R17" s="213">
        <v>100</v>
      </c>
      <c r="S17" s="213">
        <f t="shared" si="9"/>
        <v>97.875</v>
      </c>
      <c r="T17" s="214">
        <v>88</v>
      </c>
      <c r="U17" s="213">
        <v>91</v>
      </c>
      <c r="V17" s="213">
        <v>90</v>
      </c>
      <c r="W17" s="213">
        <v>97</v>
      </c>
      <c r="X17" s="213">
        <v>92</v>
      </c>
      <c r="Y17" s="213">
        <v>96</v>
      </c>
      <c r="Z17" s="213">
        <v>100</v>
      </c>
      <c r="AA17" s="213"/>
      <c r="AB17" s="213"/>
      <c r="AC17" s="213"/>
      <c r="AD17" s="213">
        <f t="shared" si="2"/>
        <v>93.428571428571431</v>
      </c>
      <c r="AE17" s="213">
        <v>97</v>
      </c>
      <c r="AF17" s="213">
        <v>98</v>
      </c>
      <c r="AG17" s="213">
        <v>100</v>
      </c>
      <c r="AH17" s="213">
        <v>100</v>
      </c>
      <c r="AI17" s="213">
        <v>99</v>
      </c>
      <c r="AJ17" s="213">
        <v>99</v>
      </c>
      <c r="AK17" s="213"/>
      <c r="AL17" s="213"/>
      <c r="AM17" s="213"/>
      <c r="AN17" s="213">
        <f t="shared" si="3"/>
        <v>98.833333333333329</v>
      </c>
      <c r="AO17" s="213">
        <v>100</v>
      </c>
      <c r="AP17" s="213">
        <v>96</v>
      </c>
      <c r="AQ17" s="213">
        <v>100</v>
      </c>
      <c r="AR17" s="213">
        <v>100</v>
      </c>
      <c r="AS17" s="213">
        <v>100</v>
      </c>
      <c r="AT17" s="213">
        <v>100</v>
      </c>
      <c r="AU17" s="213">
        <v>90</v>
      </c>
      <c r="AV17" s="213">
        <f t="shared" si="4"/>
        <v>98</v>
      </c>
      <c r="AW17" s="213">
        <v>97</v>
      </c>
      <c r="AX17" s="213">
        <v>100</v>
      </c>
      <c r="AY17" s="213">
        <v>100</v>
      </c>
      <c r="AZ17" s="213">
        <v>99</v>
      </c>
      <c r="BA17" s="213">
        <v>94</v>
      </c>
      <c r="BB17" s="213">
        <v>97</v>
      </c>
      <c r="BC17" s="213">
        <v>100</v>
      </c>
      <c r="BD17" s="213">
        <f t="shared" si="5"/>
        <v>98.142857142857139</v>
      </c>
      <c r="BE17" s="213"/>
      <c r="BF17" s="317">
        <f t="shared" si="0"/>
        <v>97.570436507936506</v>
      </c>
      <c r="BG17" s="218"/>
      <c r="BH17" s="213">
        <v>89</v>
      </c>
      <c r="BI17" s="213" t="e">
        <f t="shared" si="6"/>
        <v>#DIV/0!</v>
      </c>
      <c r="BJ17" s="213">
        <f t="shared" si="6"/>
        <v>93.285218253968253</v>
      </c>
      <c r="BK17" s="213" t="e">
        <f t="shared" si="7"/>
        <v>#DIV/0!</v>
      </c>
      <c r="BL17" s="59">
        <f t="shared" si="8"/>
        <v>89</v>
      </c>
    </row>
    <row r="18" spans="1:66" ht="18.75" customHeight="1">
      <c r="A18" s="147">
        <v>15</v>
      </c>
      <c r="B18" s="135" t="str">
        <f>VLOOKUP(A18,緊急聯絡!A$2:C$27,3,0)</f>
        <v>藍彩華</v>
      </c>
      <c r="C18" s="213">
        <v>100</v>
      </c>
      <c r="D18" s="213">
        <v>97</v>
      </c>
      <c r="E18" s="213">
        <v>97</v>
      </c>
      <c r="F18" s="213">
        <v>90</v>
      </c>
      <c r="G18" s="213">
        <v>90</v>
      </c>
      <c r="H18" s="213">
        <v>100</v>
      </c>
      <c r="I18" s="213">
        <v>102</v>
      </c>
      <c r="J18" s="213">
        <f t="shared" si="1"/>
        <v>96.571428571428569</v>
      </c>
      <c r="K18" s="213">
        <v>98</v>
      </c>
      <c r="L18" s="213">
        <v>98</v>
      </c>
      <c r="M18" s="213">
        <v>98</v>
      </c>
      <c r="N18" s="213">
        <v>98</v>
      </c>
      <c r="O18" s="213">
        <v>98</v>
      </c>
      <c r="P18" s="213">
        <v>98</v>
      </c>
      <c r="Q18" s="213">
        <v>98</v>
      </c>
      <c r="R18" s="213">
        <v>98</v>
      </c>
      <c r="S18" s="213">
        <f t="shared" si="9"/>
        <v>98</v>
      </c>
      <c r="T18" s="214">
        <v>100</v>
      </c>
      <c r="U18" s="213">
        <v>99</v>
      </c>
      <c r="V18" s="213">
        <v>96</v>
      </c>
      <c r="W18" s="213">
        <v>95</v>
      </c>
      <c r="X18" s="213">
        <v>90</v>
      </c>
      <c r="Y18" s="213">
        <v>100</v>
      </c>
      <c r="Z18" s="213">
        <v>97</v>
      </c>
      <c r="AA18" s="213"/>
      <c r="AB18" s="213"/>
      <c r="AC18" s="213"/>
      <c r="AD18" s="213">
        <f t="shared" si="2"/>
        <v>96.714285714285708</v>
      </c>
      <c r="AE18" s="213">
        <v>98</v>
      </c>
      <c r="AF18" s="213">
        <v>98</v>
      </c>
      <c r="AG18" s="213">
        <v>100</v>
      </c>
      <c r="AH18" s="213">
        <v>98</v>
      </c>
      <c r="AI18" s="213">
        <v>99</v>
      </c>
      <c r="AJ18" s="213">
        <v>99</v>
      </c>
      <c r="AK18" s="213"/>
      <c r="AL18" s="213"/>
      <c r="AM18" s="213"/>
      <c r="AN18" s="213">
        <f t="shared" si="3"/>
        <v>98.666666666666671</v>
      </c>
      <c r="AO18" s="213">
        <v>100</v>
      </c>
      <c r="AP18" s="213">
        <v>100</v>
      </c>
      <c r="AQ18" s="213">
        <v>98</v>
      </c>
      <c r="AR18" s="213">
        <v>100</v>
      </c>
      <c r="AS18" s="213">
        <v>92</v>
      </c>
      <c r="AT18" s="213">
        <v>100</v>
      </c>
      <c r="AU18" s="213">
        <v>100</v>
      </c>
      <c r="AV18" s="213">
        <f t="shared" si="4"/>
        <v>98.571428571428569</v>
      </c>
      <c r="AW18" s="213">
        <v>97</v>
      </c>
      <c r="AX18" s="213">
        <v>99</v>
      </c>
      <c r="AY18" s="213">
        <v>100</v>
      </c>
      <c r="AZ18" s="213">
        <v>97</v>
      </c>
      <c r="BA18" s="213">
        <v>94</v>
      </c>
      <c r="BB18" s="213">
        <v>100</v>
      </c>
      <c r="BC18" s="213">
        <v>100</v>
      </c>
      <c r="BD18" s="213">
        <f t="shared" si="5"/>
        <v>98.142857142857139</v>
      </c>
      <c r="BE18" s="213"/>
      <c r="BF18" s="317">
        <f t="shared" si="0"/>
        <v>97.777777777777771</v>
      </c>
      <c r="BG18" s="218"/>
      <c r="BH18" s="213">
        <v>94</v>
      </c>
      <c r="BI18" s="213" t="e">
        <f t="shared" si="6"/>
        <v>#DIV/0!</v>
      </c>
      <c r="BJ18" s="213">
        <f t="shared" si="6"/>
        <v>95.888888888888886</v>
      </c>
      <c r="BK18" s="213" t="e">
        <f t="shared" si="7"/>
        <v>#DIV/0!</v>
      </c>
      <c r="BL18" s="59">
        <f t="shared" si="8"/>
        <v>94</v>
      </c>
    </row>
    <row r="19" spans="1:66" ht="18.75" customHeight="1">
      <c r="A19" s="147">
        <v>16</v>
      </c>
      <c r="B19" s="135" t="str">
        <f>VLOOKUP(A19,緊急聯絡!A$2:C$27,3,0)</f>
        <v>曾琛晞</v>
      </c>
      <c r="C19" s="213">
        <v>100</v>
      </c>
      <c r="D19" s="213">
        <v>102</v>
      </c>
      <c r="E19" s="213">
        <v>100</v>
      </c>
      <c r="F19" s="213">
        <v>102</v>
      </c>
      <c r="G19" s="213">
        <v>101</v>
      </c>
      <c r="H19" s="213">
        <v>101</v>
      </c>
      <c r="I19" s="213">
        <v>101</v>
      </c>
      <c r="J19" s="213">
        <f t="shared" si="1"/>
        <v>101</v>
      </c>
      <c r="K19" s="213">
        <v>98</v>
      </c>
      <c r="L19" s="213">
        <v>100</v>
      </c>
      <c r="M19" s="213">
        <v>100</v>
      </c>
      <c r="N19" s="213">
        <v>98</v>
      </c>
      <c r="O19" s="213">
        <v>100</v>
      </c>
      <c r="P19" s="213">
        <v>93</v>
      </c>
      <c r="Q19" s="213">
        <v>98</v>
      </c>
      <c r="R19" s="213">
        <v>98</v>
      </c>
      <c r="S19" s="213">
        <f t="shared" si="9"/>
        <v>98.125</v>
      </c>
      <c r="T19" s="214">
        <v>98</v>
      </c>
      <c r="U19" s="213">
        <v>92</v>
      </c>
      <c r="V19" s="213">
        <v>98</v>
      </c>
      <c r="W19" s="213">
        <v>88</v>
      </c>
      <c r="X19" s="213">
        <v>77</v>
      </c>
      <c r="Y19" s="213">
        <v>95</v>
      </c>
      <c r="Z19" s="213">
        <v>97</v>
      </c>
      <c r="AA19" s="213"/>
      <c r="AB19" s="213"/>
      <c r="AC19" s="213"/>
      <c r="AD19" s="213">
        <f t="shared" si="2"/>
        <v>92.142857142857139</v>
      </c>
      <c r="AE19" s="213">
        <v>99</v>
      </c>
      <c r="AF19" s="213">
        <v>96</v>
      </c>
      <c r="AG19" s="213">
        <v>99</v>
      </c>
      <c r="AH19" s="213">
        <v>100</v>
      </c>
      <c r="AI19" s="213">
        <v>100</v>
      </c>
      <c r="AJ19" s="213">
        <v>100</v>
      </c>
      <c r="AK19" s="213"/>
      <c r="AL19" s="213"/>
      <c r="AM19" s="213"/>
      <c r="AN19" s="213">
        <f t="shared" si="3"/>
        <v>99</v>
      </c>
      <c r="AO19" s="213">
        <v>100</v>
      </c>
      <c r="AP19" s="213">
        <v>100</v>
      </c>
      <c r="AQ19" s="213">
        <v>90</v>
      </c>
      <c r="AR19" s="213">
        <v>90</v>
      </c>
      <c r="AS19" s="213">
        <v>100</v>
      </c>
      <c r="AT19" s="213">
        <v>100</v>
      </c>
      <c r="AU19" s="213">
        <v>100</v>
      </c>
      <c r="AV19" s="213">
        <f t="shared" si="4"/>
        <v>97.142857142857139</v>
      </c>
      <c r="AW19" s="213">
        <v>97</v>
      </c>
      <c r="AX19" s="213">
        <v>96</v>
      </c>
      <c r="AY19" s="213">
        <v>100</v>
      </c>
      <c r="AZ19" s="213">
        <v>84</v>
      </c>
      <c r="BA19" s="213">
        <v>87</v>
      </c>
      <c r="BB19" s="213">
        <v>100</v>
      </c>
      <c r="BC19" s="213">
        <v>99</v>
      </c>
      <c r="BD19" s="213">
        <f t="shared" si="5"/>
        <v>94.714285714285708</v>
      </c>
      <c r="BE19" s="213"/>
      <c r="BF19" s="317">
        <f t="shared" si="0"/>
        <v>97.020833333333314</v>
      </c>
      <c r="BG19" s="218"/>
      <c r="BH19" s="213">
        <v>93</v>
      </c>
      <c r="BI19" s="213" t="e">
        <f t="shared" si="6"/>
        <v>#DIV/0!</v>
      </c>
      <c r="BJ19" s="213">
        <f t="shared" si="6"/>
        <v>95.010416666666657</v>
      </c>
      <c r="BK19" s="213" t="e">
        <f t="shared" si="7"/>
        <v>#DIV/0!</v>
      </c>
      <c r="BL19" s="59">
        <f t="shared" si="8"/>
        <v>93</v>
      </c>
    </row>
    <row r="20" spans="1:66" ht="18.75" customHeight="1">
      <c r="A20" s="147">
        <v>17</v>
      </c>
      <c r="B20" s="135" t="str">
        <f>VLOOKUP(A20,緊急聯絡!A$2:C$27,3,0)</f>
        <v>張智函</v>
      </c>
      <c r="C20" s="213">
        <v>101</v>
      </c>
      <c r="D20" s="213">
        <v>97</v>
      </c>
      <c r="E20" s="213">
        <v>96</v>
      </c>
      <c r="F20" s="213">
        <v>97</v>
      </c>
      <c r="G20" s="213">
        <v>99</v>
      </c>
      <c r="H20" s="213">
        <v>96</v>
      </c>
      <c r="I20" s="213">
        <v>100</v>
      </c>
      <c r="J20" s="213">
        <f t="shared" si="1"/>
        <v>98</v>
      </c>
      <c r="K20" s="213">
        <v>100</v>
      </c>
      <c r="L20" s="213">
        <v>98</v>
      </c>
      <c r="M20" s="213">
        <v>100</v>
      </c>
      <c r="N20" s="213">
        <v>98</v>
      </c>
      <c r="O20" s="213">
        <v>100</v>
      </c>
      <c r="P20" s="213">
        <v>98</v>
      </c>
      <c r="Q20" s="213">
        <v>93</v>
      </c>
      <c r="R20" s="213">
        <v>100</v>
      </c>
      <c r="S20" s="213">
        <f t="shared" si="9"/>
        <v>98.375</v>
      </c>
      <c r="T20" s="214">
        <v>86</v>
      </c>
      <c r="U20" s="213">
        <v>93</v>
      </c>
      <c r="V20" s="213">
        <v>85</v>
      </c>
      <c r="W20" s="213">
        <v>98</v>
      </c>
      <c r="X20" s="213">
        <v>87</v>
      </c>
      <c r="Y20" s="213">
        <v>98</v>
      </c>
      <c r="Z20" s="213">
        <v>88</v>
      </c>
      <c r="AA20" s="213"/>
      <c r="AB20" s="213"/>
      <c r="AC20" s="213"/>
      <c r="AD20" s="213">
        <f t="shared" si="2"/>
        <v>90.714285714285708</v>
      </c>
      <c r="AE20" s="213">
        <v>95</v>
      </c>
      <c r="AF20" s="213">
        <v>97</v>
      </c>
      <c r="AG20" s="213">
        <v>98</v>
      </c>
      <c r="AH20" s="213">
        <v>99</v>
      </c>
      <c r="AI20" s="213">
        <v>98</v>
      </c>
      <c r="AJ20" s="213">
        <v>99</v>
      </c>
      <c r="AK20" s="213"/>
      <c r="AL20" s="213"/>
      <c r="AM20" s="213"/>
      <c r="AN20" s="213">
        <f t="shared" si="3"/>
        <v>97.666666666666671</v>
      </c>
      <c r="AO20" s="213">
        <v>99</v>
      </c>
      <c r="AP20" s="213">
        <v>98</v>
      </c>
      <c r="AQ20" s="213">
        <v>98</v>
      </c>
      <c r="AR20" s="213">
        <v>90</v>
      </c>
      <c r="AS20" s="213">
        <v>100</v>
      </c>
      <c r="AT20" s="213">
        <v>98</v>
      </c>
      <c r="AU20" s="213">
        <v>100</v>
      </c>
      <c r="AV20" s="213">
        <f t="shared" si="4"/>
        <v>97.571428571428569</v>
      </c>
      <c r="AW20" s="213">
        <v>98</v>
      </c>
      <c r="AX20" s="213">
        <v>97</v>
      </c>
      <c r="AY20" s="213">
        <v>97</v>
      </c>
      <c r="AZ20" s="213">
        <v>98</v>
      </c>
      <c r="BA20" s="213">
        <v>100</v>
      </c>
      <c r="BB20" s="213">
        <v>96</v>
      </c>
      <c r="BC20" s="213">
        <v>100</v>
      </c>
      <c r="BD20" s="213">
        <f t="shared" si="5"/>
        <v>98</v>
      </c>
      <c r="BE20" s="213"/>
      <c r="BF20" s="317">
        <f t="shared" si="0"/>
        <v>96.721230158730165</v>
      </c>
      <c r="BG20" s="218"/>
      <c r="BH20" s="213">
        <v>82</v>
      </c>
      <c r="BI20" s="213" t="e">
        <f t="shared" si="6"/>
        <v>#DIV/0!</v>
      </c>
      <c r="BJ20" s="213">
        <f t="shared" si="6"/>
        <v>89.36061507936509</v>
      </c>
      <c r="BK20" s="213" t="e">
        <f t="shared" si="7"/>
        <v>#DIV/0!</v>
      </c>
      <c r="BL20" s="59">
        <f t="shared" si="8"/>
        <v>82</v>
      </c>
    </row>
    <row r="21" spans="1:66" ht="18.75" customHeight="1">
      <c r="A21" s="147">
        <v>18</v>
      </c>
      <c r="B21" s="135" t="str">
        <f>VLOOKUP(A21,緊急聯絡!A$2:C$27,3,0)</f>
        <v>許凌菲</v>
      </c>
      <c r="C21" s="213">
        <v>99</v>
      </c>
      <c r="D21" s="213">
        <v>95</v>
      </c>
      <c r="E21" s="213">
        <v>100</v>
      </c>
      <c r="F21" s="213">
        <v>95</v>
      </c>
      <c r="G21" s="213">
        <v>96</v>
      </c>
      <c r="H21" s="213">
        <v>100</v>
      </c>
      <c r="I21" s="213">
        <v>99</v>
      </c>
      <c r="J21" s="213">
        <f t="shared" si="1"/>
        <v>97.714285714285708</v>
      </c>
      <c r="K21" s="213">
        <v>93</v>
      </c>
      <c r="L21" s="213">
        <v>93</v>
      </c>
      <c r="M21" s="213">
        <v>88</v>
      </c>
      <c r="N21" s="213">
        <v>88</v>
      </c>
      <c r="O21" s="213">
        <v>98</v>
      </c>
      <c r="P21" s="213">
        <v>93</v>
      </c>
      <c r="Q21" s="213">
        <v>88</v>
      </c>
      <c r="R21" s="213"/>
      <c r="S21" s="213">
        <f>AVERAGE(K21:Q21)</f>
        <v>91.571428571428569</v>
      </c>
      <c r="T21" s="214">
        <v>84</v>
      </c>
      <c r="U21" s="213">
        <v>87</v>
      </c>
      <c r="V21" s="213">
        <v>92</v>
      </c>
      <c r="W21" s="213">
        <v>95</v>
      </c>
      <c r="X21" s="213">
        <v>82</v>
      </c>
      <c r="Y21" s="213">
        <v>92</v>
      </c>
      <c r="Z21" s="213">
        <v>82</v>
      </c>
      <c r="AA21" s="213"/>
      <c r="AB21" s="213"/>
      <c r="AC21" s="213"/>
      <c r="AD21" s="213">
        <f t="shared" si="2"/>
        <v>87.714285714285708</v>
      </c>
      <c r="AE21" s="213">
        <v>90</v>
      </c>
      <c r="AF21" s="213">
        <v>95</v>
      </c>
      <c r="AG21" s="213">
        <v>99</v>
      </c>
      <c r="AH21" s="213">
        <v>88</v>
      </c>
      <c r="AI21" s="213">
        <v>100</v>
      </c>
      <c r="AJ21" s="213">
        <v>98</v>
      </c>
      <c r="AK21" s="213"/>
      <c r="AL21" s="213"/>
      <c r="AM21" s="213"/>
      <c r="AN21" s="213">
        <f t="shared" si="3"/>
        <v>95</v>
      </c>
      <c r="AO21" s="213">
        <v>95</v>
      </c>
      <c r="AP21" s="213">
        <v>90</v>
      </c>
      <c r="AQ21" s="213">
        <v>98</v>
      </c>
      <c r="AR21" s="213">
        <v>98</v>
      </c>
      <c r="AS21" s="213">
        <v>100</v>
      </c>
      <c r="AT21" s="213">
        <v>98</v>
      </c>
      <c r="AU21" s="213">
        <v>100</v>
      </c>
      <c r="AV21" s="213">
        <f t="shared" si="4"/>
        <v>97</v>
      </c>
      <c r="AW21" s="213">
        <v>90</v>
      </c>
      <c r="AX21" s="213">
        <v>96</v>
      </c>
      <c r="AY21" s="213">
        <v>97</v>
      </c>
      <c r="AZ21" s="213">
        <v>90</v>
      </c>
      <c r="BA21" s="213">
        <v>100</v>
      </c>
      <c r="BB21" s="213">
        <v>97</v>
      </c>
      <c r="BC21" s="213">
        <v>97</v>
      </c>
      <c r="BD21" s="213">
        <f t="shared" si="5"/>
        <v>95.285714285714292</v>
      </c>
      <c r="BE21" s="213"/>
      <c r="BF21" s="317">
        <f t="shared" si="0"/>
        <v>94.047619047619051</v>
      </c>
      <c r="BG21" s="218"/>
      <c r="BH21" s="213">
        <v>80</v>
      </c>
      <c r="BI21" s="213" t="e">
        <f t="shared" si="6"/>
        <v>#DIV/0!</v>
      </c>
      <c r="BJ21" s="213">
        <f t="shared" si="6"/>
        <v>87.023809523809518</v>
      </c>
      <c r="BK21" s="213" t="e">
        <f t="shared" si="7"/>
        <v>#DIV/0!</v>
      </c>
      <c r="BL21" s="59">
        <f t="shared" si="8"/>
        <v>80</v>
      </c>
    </row>
    <row r="22" spans="1:66" ht="18.75" customHeight="1">
      <c r="A22" s="147">
        <v>19</v>
      </c>
      <c r="B22" s="135" t="str">
        <f>VLOOKUP(A22,緊急聯絡!A$2:C$27,3,0)</f>
        <v>吳羽棠</v>
      </c>
      <c r="C22" s="213">
        <v>97</v>
      </c>
      <c r="D22" s="213">
        <v>92</v>
      </c>
      <c r="E22" s="213">
        <v>95</v>
      </c>
      <c r="F22" s="213">
        <v>90</v>
      </c>
      <c r="G22" s="213">
        <v>95</v>
      </c>
      <c r="H22" s="213">
        <v>100</v>
      </c>
      <c r="I22" s="213">
        <v>95</v>
      </c>
      <c r="J22" s="213">
        <f t="shared" si="1"/>
        <v>94.857142857142861</v>
      </c>
      <c r="K22" s="213">
        <v>93</v>
      </c>
      <c r="L22" s="213">
        <v>98</v>
      </c>
      <c r="M22" s="213">
        <v>93</v>
      </c>
      <c r="N22" s="213">
        <v>98</v>
      </c>
      <c r="O22" s="213">
        <v>93</v>
      </c>
      <c r="P22" s="213">
        <v>93</v>
      </c>
      <c r="Q22" s="213">
        <v>93</v>
      </c>
      <c r="R22" s="213"/>
      <c r="S22" s="213">
        <f>AVERAGE(K22:Q22)</f>
        <v>94.428571428571431</v>
      </c>
      <c r="T22" s="214">
        <v>93</v>
      </c>
      <c r="U22" s="213">
        <v>91</v>
      </c>
      <c r="V22" s="213">
        <v>78</v>
      </c>
      <c r="W22" s="213">
        <v>95</v>
      </c>
      <c r="X22" s="213">
        <v>83</v>
      </c>
      <c r="Y22" s="213">
        <v>86</v>
      </c>
      <c r="Z22" s="213">
        <v>97</v>
      </c>
      <c r="AA22" s="213"/>
      <c r="AB22" s="213"/>
      <c r="AC22" s="213"/>
      <c r="AD22" s="213">
        <f t="shared" si="2"/>
        <v>89</v>
      </c>
      <c r="AE22" s="213">
        <v>97</v>
      </c>
      <c r="AF22" s="213">
        <v>91</v>
      </c>
      <c r="AG22" s="213">
        <v>99</v>
      </c>
      <c r="AH22" s="213">
        <v>96</v>
      </c>
      <c r="AI22" s="213">
        <v>83</v>
      </c>
      <c r="AJ22" s="213">
        <v>98</v>
      </c>
      <c r="AK22" s="213"/>
      <c r="AL22" s="213"/>
      <c r="AM22" s="213"/>
      <c r="AN22" s="213">
        <f t="shared" si="3"/>
        <v>94</v>
      </c>
      <c r="AO22" s="213">
        <v>90</v>
      </c>
      <c r="AP22" s="213">
        <v>100</v>
      </c>
      <c r="AQ22" s="213">
        <v>99</v>
      </c>
      <c r="AR22" s="213">
        <v>100</v>
      </c>
      <c r="AS22" s="213">
        <v>84</v>
      </c>
      <c r="AT22" s="213">
        <v>100</v>
      </c>
      <c r="AU22" s="213">
        <v>98</v>
      </c>
      <c r="AV22" s="213">
        <f t="shared" si="4"/>
        <v>95.857142857142861</v>
      </c>
      <c r="AW22" s="213">
        <v>94</v>
      </c>
      <c r="AX22" s="213">
        <v>93</v>
      </c>
      <c r="AY22" s="213">
        <v>92</v>
      </c>
      <c r="AZ22" s="213">
        <v>92</v>
      </c>
      <c r="BA22" s="213">
        <v>98</v>
      </c>
      <c r="BB22" s="213">
        <v>96</v>
      </c>
      <c r="BC22" s="213">
        <v>94</v>
      </c>
      <c r="BD22" s="213">
        <f t="shared" si="5"/>
        <v>94.142857142857139</v>
      </c>
      <c r="BE22" s="213"/>
      <c r="BF22" s="317">
        <f t="shared" si="0"/>
        <v>93.714285714285708</v>
      </c>
      <c r="BG22" s="218"/>
      <c r="BH22" s="213">
        <v>87</v>
      </c>
      <c r="BI22" s="213" t="e">
        <f t="shared" si="6"/>
        <v>#DIV/0!</v>
      </c>
      <c r="BJ22" s="213">
        <f t="shared" si="6"/>
        <v>90.357142857142861</v>
      </c>
      <c r="BK22" s="213" t="e">
        <f t="shared" si="7"/>
        <v>#DIV/0!</v>
      </c>
      <c r="BL22" s="59">
        <f t="shared" si="8"/>
        <v>87</v>
      </c>
    </row>
    <row r="23" spans="1:66" ht="18.75" customHeight="1">
      <c r="A23" s="147">
        <v>20</v>
      </c>
      <c r="B23" s="135" t="str">
        <f>VLOOKUP(A23,緊急聯絡!A$2:C$27,3,0)</f>
        <v>蔡羽媗</v>
      </c>
      <c r="C23" s="213">
        <v>99</v>
      </c>
      <c r="D23" s="213">
        <v>92</v>
      </c>
      <c r="E23" s="213">
        <v>95</v>
      </c>
      <c r="F23" s="213">
        <v>95</v>
      </c>
      <c r="G23" s="213">
        <v>99</v>
      </c>
      <c r="H23" s="213">
        <v>100</v>
      </c>
      <c r="I23" s="213">
        <v>91</v>
      </c>
      <c r="J23" s="213">
        <f t="shared" si="1"/>
        <v>95.857142857142861</v>
      </c>
      <c r="K23" s="213">
        <v>88</v>
      </c>
      <c r="L23" s="213">
        <v>98</v>
      </c>
      <c r="M23" s="213">
        <v>83</v>
      </c>
      <c r="N23" s="213">
        <v>93</v>
      </c>
      <c r="O23" s="213">
        <v>88</v>
      </c>
      <c r="P23" s="213">
        <v>88</v>
      </c>
      <c r="Q23" s="213">
        <v>98</v>
      </c>
      <c r="R23" s="213"/>
      <c r="S23" s="213">
        <f>AVERAGE(K23:Q23)</f>
        <v>90.857142857142861</v>
      </c>
      <c r="T23" s="214">
        <v>95</v>
      </c>
      <c r="U23" s="213">
        <v>98</v>
      </c>
      <c r="V23" s="213">
        <v>90</v>
      </c>
      <c r="W23" s="213">
        <v>99</v>
      </c>
      <c r="X23" s="213">
        <v>88</v>
      </c>
      <c r="Y23" s="213">
        <v>98</v>
      </c>
      <c r="Z23" s="213">
        <v>98</v>
      </c>
      <c r="AA23" s="213"/>
      <c r="AB23" s="213"/>
      <c r="AC23" s="213"/>
      <c r="AD23" s="213">
        <f t="shared" si="2"/>
        <v>95.142857142857139</v>
      </c>
      <c r="AE23" s="213">
        <v>98</v>
      </c>
      <c r="AF23" s="213">
        <v>96</v>
      </c>
      <c r="AG23" s="213">
        <v>98</v>
      </c>
      <c r="AH23" s="213">
        <v>97</v>
      </c>
      <c r="AI23" s="213">
        <v>80</v>
      </c>
      <c r="AJ23" s="213">
        <v>93</v>
      </c>
      <c r="AK23" s="213"/>
      <c r="AL23" s="213"/>
      <c r="AM23" s="213"/>
      <c r="AN23" s="213">
        <f t="shared" si="3"/>
        <v>93.666666666666671</v>
      </c>
      <c r="AO23" s="213">
        <v>96</v>
      </c>
      <c r="AP23" s="213">
        <v>95</v>
      </c>
      <c r="AQ23" s="213">
        <v>90</v>
      </c>
      <c r="AR23" s="213">
        <v>96</v>
      </c>
      <c r="AS23" s="213">
        <v>84</v>
      </c>
      <c r="AT23" s="213">
        <v>98</v>
      </c>
      <c r="AU23" s="213">
        <v>98</v>
      </c>
      <c r="AV23" s="213">
        <f t="shared" si="4"/>
        <v>93.857142857142861</v>
      </c>
      <c r="AW23" s="213">
        <v>95</v>
      </c>
      <c r="AX23" s="213">
        <v>94</v>
      </c>
      <c r="AY23" s="213">
        <v>99</v>
      </c>
      <c r="AZ23" s="213">
        <v>100</v>
      </c>
      <c r="BA23" s="213">
        <v>100</v>
      </c>
      <c r="BB23" s="213">
        <v>97</v>
      </c>
      <c r="BC23" s="213"/>
      <c r="BD23" s="213">
        <f t="shared" si="5"/>
        <v>97.5</v>
      </c>
      <c r="BE23" s="213"/>
      <c r="BF23" s="317">
        <f t="shared" si="0"/>
        <v>94.480158730158735</v>
      </c>
      <c r="BG23" s="218"/>
      <c r="BH23" s="213">
        <v>90</v>
      </c>
      <c r="BI23" s="213" t="e">
        <f t="shared" si="6"/>
        <v>#DIV/0!</v>
      </c>
      <c r="BJ23" s="213">
        <f t="shared" si="6"/>
        <v>92.240079365079367</v>
      </c>
      <c r="BK23" s="213" t="e">
        <f t="shared" si="7"/>
        <v>#DIV/0!</v>
      </c>
      <c r="BL23" s="59">
        <f t="shared" si="8"/>
        <v>90</v>
      </c>
    </row>
    <row r="24" spans="1:66" ht="18.75" customHeight="1">
      <c r="A24" s="147">
        <v>21</v>
      </c>
      <c r="B24" s="135" t="str">
        <f>VLOOKUP(A24,緊急聯絡!A$2:C$27,3,0)</f>
        <v>楊筱歆</v>
      </c>
      <c r="C24" s="213">
        <v>102</v>
      </c>
      <c r="D24" s="213">
        <v>99</v>
      </c>
      <c r="E24" s="213">
        <v>97</v>
      </c>
      <c r="F24" s="213">
        <v>102</v>
      </c>
      <c r="G24" s="213">
        <v>101</v>
      </c>
      <c r="H24" s="213">
        <v>98</v>
      </c>
      <c r="I24" s="213">
        <v>101</v>
      </c>
      <c r="J24" s="213">
        <f t="shared" si="1"/>
        <v>100</v>
      </c>
      <c r="K24" s="213">
        <v>93</v>
      </c>
      <c r="L24" s="213">
        <v>100</v>
      </c>
      <c r="M24" s="213">
        <v>98</v>
      </c>
      <c r="N24" s="213">
        <v>100</v>
      </c>
      <c r="O24" s="213">
        <v>98</v>
      </c>
      <c r="P24" s="213">
        <v>88</v>
      </c>
      <c r="Q24" s="213">
        <v>93</v>
      </c>
      <c r="R24" s="213"/>
      <c r="S24" s="213">
        <f>AVERAGE(K24:Q24)</f>
        <v>95.714285714285708</v>
      </c>
      <c r="T24" s="214">
        <v>98</v>
      </c>
      <c r="U24" s="213">
        <v>97</v>
      </c>
      <c r="V24" s="213">
        <v>97</v>
      </c>
      <c r="W24" s="213">
        <v>96</v>
      </c>
      <c r="X24" s="213">
        <v>92</v>
      </c>
      <c r="Y24" s="213">
        <v>100</v>
      </c>
      <c r="Z24" s="213">
        <v>91</v>
      </c>
      <c r="AA24" s="213"/>
      <c r="AB24" s="213"/>
      <c r="AC24" s="213"/>
      <c r="AD24" s="213">
        <f t="shared" si="2"/>
        <v>95.857142857142861</v>
      </c>
      <c r="AE24" s="213">
        <v>99</v>
      </c>
      <c r="AF24" s="213">
        <v>100</v>
      </c>
      <c r="AG24" s="213">
        <v>97</v>
      </c>
      <c r="AH24" s="213">
        <v>100</v>
      </c>
      <c r="AI24" s="213">
        <v>100</v>
      </c>
      <c r="AJ24" s="213">
        <v>100</v>
      </c>
      <c r="AK24" s="213"/>
      <c r="AL24" s="213"/>
      <c r="AM24" s="213"/>
      <c r="AN24" s="213">
        <f t="shared" si="3"/>
        <v>99.333333333333329</v>
      </c>
      <c r="AO24" s="213">
        <v>80</v>
      </c>
      <c r="AP24" s="213">
        <v>90</v>
      </c>
      <c r="AQ24" s="213">
        <v>100</v>
      </c>
      <c r="AR24" s="213">
        <v>98</v>
      </c>
      <c r="AS24" s="213">
        <v>100</v>
      </c>
      <c r="AT24" s="213">
        <v>100</v>
      </c>
      <c r="AU24" s="213">
        <v>100</v>
      </c>
      <c r="AV24" s="213">
        <f t="shared" si="4"/>
        <v>95.428571428571431</v>
      </c>
      <c r="AW24" s="213">
        <v>100</v>
      </c>
      <c r="AX24" s="213">
        <v>100</v>
      </c>
      <c r="AY24" s="213">
        <v>100</v>
      </c>
      <c r="AZ24" s="213">
        <v>97</v>
      </c>
      <c r="BA24" s="213">
        <v>100</v>
      </c>
      <c r="BB24" s="213">
        <v>100</v>
      </c>
      <c r="BC24" s="213">
        <v>100</v>
      </c>
      <c r="BD24" s="213">
        <f t="shared" si="5"/>
        <v>99.571428571428569</v>
      </c>
      <c r="BE24" s="213"/>
      <c r="BF24" s="317">
        <f t="shared" si="0"/>
        <v>97.650793650793659</v>
      </c>
      <c r="BG24" s="218"/>
      <c r="BH24" s="213">
        <v>95</v>
      </c>
      <c r="BI24" s="213" t="e">
        <f t="shared" si="6"/>
        <v>#DIV/0!</v>
      </c>
      <c r="BJ24" s="213">
        <f t="shared" si="6"/>
        <v>96.325396825396837</v>
      </c>
      <c r="BK24" s="213" t="e">
        <f t="shared" si="7"/>
        <v>#DIV/0!</v>
      </c>
      <c r="BL24" s="59">
        <f t="shared" si="8"/>
        <v>95</v>
      </c>
    </row>
    <row r="25" spans="1:66" ht="18.75" customHeight="1">
      <c r="A25" s="147">
        <v>22</v>
      </c>
      <c r="B25" s="135" t="str">
        <f>VLOOKUP(A25,緊急聯絡!A$2:C$27,3,0)</f>
        <v>邱詩涵</v>
      </c>
      <c r="C25" s="213">
        <v>99</v>
      </c>
      <c r="D25" s="213">
        <v>98</v>
      </c>
      <c r="E25" s="213">
        <v>93</v>
      </c>
      <c r="F25" s="213">
        <v>95</v>
      </c>
      <c r="G25" s="213">
        <v>100</v>
      </c>
      <c r="H25" s="213">
        <v>100</v>
      </c>
      <c r="I25" s="213">
        <v>96</v>
      </c>
      <c r="J25" s="213">
        <f t="shared" si="1"/>
        <v>97.285714285714292</v>
      </c>
      <c r="K25" s="213">
        <v>88</v>
      </c>
      <c r="L25" s="213">
        <v>88</v>
      </c>
      <c r="M25" s="213">
        <v>83</v>
      </c>
      <c r="N25" s="213">
        <v>88</v>
      </c>
      <c r="O25" s="213">
        <v>93</v>
      </c>
      <c r="P25" s="213">
        <v>93</v>
      </c>
      <c r="Q25" s="213">
        <v>93</v>
      </c>
      <c r="R25" s="213">
        <v>98</v>
      </c>
      <c r="S25" s="213">
        <f>AVERAGE(K25:R25)</f>
        <v>90.5</v>
      </c>
      <c r="T25" s="214">
        <v>96</v>
      </c>
      <c r="U25" s="213">
        <v>95</v>
      </c>
      <c r="V25" s="213">
        <v>87</v>
      </c>
      <c r="W25" s="213">
        <v>99</v>
      </c>
      <c r="X25" s="213">
        <v>88</v>
      </c>
      <c r="Y25" s="213">
        <v>93</v>
      </c>
      <c r="Z25" s="213">
        <v>98</v>
      </c>
      <c r="AA25" s="213"/>
      <c r="AB25" s="213"/>
      <c r="AC25" s="213"/>
      <c r="AD25" s="213">
        <f t="shared" si="2"/>
        <v>93.714285714285708</v>
      </c>
      <c r="AE25" s="213">
        <v>86</v>
      </c>
      <c r="AF25" s="213">
        <v>88</v>
      </c>
      <c r="AG25" s="213">
        <v>87</v>
      </c>
      <c r="AH25" s="213">
        <v>88</v>
      </c>
      <c r="AI25" s="213">
        <v>83</v>
      </c>
      <c r="AJ25" s="213">
        <v>95</v>
      </c>
      <c r="AK25" s="213"/>
      <c r="AL25" s="213"/>
      <c r="AM25" s="213"/>
      <c r="AN25" s="213">
        <f t="shared" si="3"/>
        <v>87.833333333333329</v>
      </c>
      <c r="AO25" s="213">
        <v>95</v>
      </c>
      <c r="AP25" s="213">
        <v>90</v>
      </c>
      <c r="AQ25" s="213">
        <v>93</v>
      </c>
      <c r="AR25" s="213">
        <v>100</v>
      </c>
      <c r="AS25" s="213">
        <v>90</v>
      </c>
      <c r="AT25" s="213">
        <v>100</v>
      </c>
      <c r="AU25" s="213">
        <v>88</v>
      </c>
      <c r="AV25" s="213">
        <f t="shared" si="4"/>
        <v>93.714285714285708</v>
      </c>
      <c r="AW25" s="213">
        <v>95</v>
      </c>
      <c r="AX25" s="213">
        <v>90</v>
      </c>
      <c r="AY25" s="213">
        <v>95</v>
      </c>
      <c r="AZ25" s="213">
        <v>98</v>
      </c>
      <c r="BA25" s="213">
        <v>96</v>
      </c>
      <c r="BB25" s="213">
        <v>98</v>
      </c>
      <c r="BC25" s="213">
        <v>90</v>
      </c>
      <c r="BD25" s="213">
        <f t="shared" si="5"/>
        <v>94.571428571428569</v>
      </c>
      <c r="BE25" s="213"/>
      <c r="BF25" s="317">
        <f t="shared" si="0"/>
        <v>92.936507936507937</v>
      </c>
      <c r="BG25" s="218"/>
      <c r="BH25" s="213">
        <v>81</v>
      </c>
      <c r="BI25" s="213" t="e">
        <f t="shared" si="6"/>
        <v>#DIV/0!</v>
      </c>
      <c r="BJ25" s="213">
        <f t="shared" si="6"/>
        <v>86.968253968253975</v>
      </c>
      <c r="BK25" s="213" t="e">
        <f t="shared" si="7"/>
        <v>#DIV/0!</v>
      </c>
      <c r="BL25" s="59">
        <f t="shared" si="8"/>
        <v>81</v>
      </c>
    </row>
    <row r="26" spans="1:66" ht="18.75" customHeight="1">
      <c r="A26" s="147">
        <v>23</v>
      </c>
      <c r="B26" s="135" t="str">
        <f>VLOOKUP(A26,緊急聯絡!A$2:C$27,3,0)</f>
        <v>張涵甯</v>
      </c>
      <c r="C26" s="213">
        <v>96</v>
      </c>
      <c r="D26" s="213">
        <v>95</v>
      </c>
      <c r="E26" s="213">
        <v>97</v>
      </c>
      <c r="F26" s="213">
        <v>99</v>
      </c>
      <c r="G26" s="213">
        <v>102</v>
      </c>
      <c r="H26" s="213">
        <v>98</v>
      </c>
      <c r="I26" s="213">
        <v>100</v>
      </c>
      <c r="J26" s="213">
        <f t="shared" si="1"/>
        <v>98.142857142857139</v>
      </c>
      <c r="K26" s="213">
        <v>100</v>
      </c>
      <c r="L26" s="213">
        <v>98</v>
      </c>
      <c r="M26" s="213">
        <v>88</v>
      </c>
      <c r="N26" s="213">
        <v>93</v>
      </c>
      <c r="O26" s="213">
        <v>98</v>
      </c>
      <c r="P26" s="213">
        <v>98</v>
      </c>
      <c r="Q26" s="213">
        <v>98</v>
      </c>
      <c r="R26" s="213"/>
      <c r="S26" s="213">
        <f>AVERAGE(K26:Q26)</f>
        <v>96.142857142857139</v>
      </c>
      <c r="T26" s="214">
        <v>100</v>
      </c>
      <c r="U26" s="213">
        <v>96</v>
      </c>
      <c r="V26" s="213">
        <v>100</v>
      </c>
      <c r="W26" s="213">
        <v>95</v>
      </c>
      <c r="X26" s="213">
        <v>81</v>
      </c>
      <c r="Y26" s="213"/>
      <c r="Z26" s="213">
        <v>99</v>
      </c>
      <c r="AA26" s="213"/>
      <c r="AB26" s="213"/>
      <c r="AC26" s="213"/>
      <c r="AD26" s="213">
        <f t="shared" si="2"/>
        <v>95.166666666666671</v>
      </c>
      <c r="AE26" s="213">
        <v>95</v>
      </c>
      <c r="AF26" s="213">
        <v>100</v>
      </c>
      <c r="AG26" s="213">
        <v>96</v>
      </c>
      <c r="AH26" s="213">
        <v>98</v>
      </c>
      <c r="AI26" s="213">
        <v>97</v>
      </c>
      <c r="AJ26" s="213">
        <v>100</v>
      </c>
      <c r="AK26" s="213"/>
      <c r="AL26" s="213"/>
      <c r="AM26" s="213"/>
      <c r="AN26" s="213">
        <f t="shared" si="3"/>
        <v>97.666666666666671</v>
      </c>
      <c r="AO26" s="213">
        <v>80</v>
      </c>
      <c r="AP26" s="213">
        <v>98</v>
      </c>
      <c r="AQ26" s="213">
        <v>89</v>
      </c>
      <c r="AR26" s="213">
        <v>96</v>
      </c>
      <c r="AS26" s="213">
        <v>94</v>
      </c>
      <c r="AT26" s="213">
        <v>95</v>
      </c>
      <c r="AU26" s="213">
        <v>100</v>
      </c>
      <c r="AV26" s="213">
        <f t="shared" si="4"/>
        <v>93.142857142857139</v>
      </c>
      <c r="AW26" s="213">
        <v>97</v>
      </c>
      <c r="AX26" s="213">
        <v>100</v>
      </c>
      <c r="AY26" s="213">
        <v>100</v>
      </c>
      <c r="AZ26" s="213">
        <v>99</v>
      </c>
      <c r="BA26" s="213">
        <v>100</v>
      </c>
      <c r="BB26" s="213">
        <v>98</v>
      </c>
      <c r="BC26" s="213">
        <v>96</v>
      </c>
      <c r="BD26" s="213">
        <f t="shared" si="5"/>
        <v>98.571428571428569</v>
      </c>
      <c r="BE26" s="213"/>
      <c r="BF26" s="317">
        <f t="shared" si="0"/>
        <v>96.472222222222229</v>
      </c>
      <c r="BG26" s="218"/>
      <c r="BH26" s="213">
        <v>94</v>
      </c>
      <c r="BI26" s="213" t="e">
        <f t="shared" si="6"/>
        <v>#DIV/0!</v>
      </c>
      <c r="BJ26" s="213">
        <f t="shared" si="6"/>
        <v>95.236111111111114</v>
      </c>
      <c r="BK26" s="213" t="e">
        <f t="shared" si="7"/>
        <v>#DIV/0!</v>
      </c>
      <c r="BL26" s="59">
        <f t="shared" si="8"/>
        <v>94</v>
      </c>
    </row>
    <row r="27" spans="1:66" ht="18.75" customHeight="1">
      <c r="A27" s="147">
        <v>24</v>
      </c>
      <c r="B27" s="135" t="str">
        <f>VLOOKUP(A27,緊急聯絡!A$2:C$27,3,0)</f>
        <v>王姿涵</v>
      </c>
      <c r="C27" s="213">
        <v>90</v>
      </c>
      <c r="D27" s="213">
        <v>97</v>
      </c>
      <c r="E27" s="213">
        <v>92</v>
      </c>
      <c r="F27" s="213">
        <v>98</v>
      </c>
      <c r="G27" s="213">
        <v>100</v>
      </c>
      <c r="H27" s="213">
        <v>99</v>
      </c>
      <c r="I27" s="213">
        <v>100</v>
      </c>
      <c r="J27" s="213">
        <f t="shared" si="1"/>
        <v>96.571428571428569</v>
      </c>
      <c r="K27" s="213">
        <v>93</v>
      </c>
      <c r="L27" s="213">
        <v>93</v>
      </c>
      <c r="M27" s="213">
        <v>93</v>
      </c>
      <c r="N27" s="213">
        <v>93</v>
      </c>
      <c r="O27" s="213">
        <v>98</v>
      </c>
      <c r="P27" s="213">
        <v>93</v>
      </c>
      <c r="Q27" s="213">
        <v>88</v>
      </c>
      <c r="R27" s="213">
        <v>98</v>
      </c>
      <c r="S27" s="213">
        <f>AVERAGE(K27:R27)</f>
        <v>93.625</v>
      </c>
      <c r="T27" s="214">
        <v>97</v>
      </c>
      <c r="U27" s="213">
        <v>95</v>
      </c>
      <c r="V27" s="213">
        <v>97</v>
      </c>
      <c r="W27" s="213">
        <v>95</v>
      </c>
      <c r="X27" s="213">
        <v>90</v>
      </c>
      <c r="Y27" s="213">
        <v>94</v>
      </c>
      <c r="Z27" s="213">
        <v>91</v>
      </c>
      <c r="AA27" s="213"/>
      <c r="AB27" s="213"/>
      <c r="AC27" s="213"/>
      <c r="AD27" s="213">
        <f t="shared" si="2"/>
        <v>94.142857142857139</v>
      </c>
      <c r="AE27" s="213">
        <v>96</v>
      </c>
      <c r="AF27" s="213">
        <v>92</v>
      </c>
      <c r="AG27" s="213">
        <v>97</v>
      </c>
      <c r="AH27" s="213">
        <v>100</v>
      </c>
      <c r="AI27" s="213">
        <v>97</v>
      </c>
      <c r="AJ27" s="213">
        <v>96</v>
      </c>
      <c r="AK27" s="213"/>
      <c r="AL27" s="213"/>
      <c r="AM27" s="213"/>
      <c r="AN27" s="213">
        <f t="shared" si="3"/>
        <v>96.333333333333329</v>
      </c>
      <c r="AO27" s="213">
        <v>90</v>
      </c>
      <c r="AP27" s="213">
        <v>98</v>
      </c>
      <c r="AQ27" s="213">
        <v>100</v>
      </c>
      <c r="AR27" s="213">
        <v>100</v>
      </c>
      <c r="AS27" s="213">
        <v>98</v>
      </c>
      <c r="AT27" s="213">
        <v>95</v>
      </c>
      <c r="AU27" s="213">
        <v>100</v>
      </c>
      <c r="AV27" s="213">
        <f t="shared" si="4"/>
        <v>97.285714285714292</v>
      </c>
      <c r="AW27" s="213">
        <v>93</v>
      </c>
      <c r="AX27" s="213">
        <v>90</v>
      </c>
      <c r="AY27" s="213">
        <v>96</v>
      </c>
      <c r="AZ27" s="213">
        <v>99</v>
      </c>
      <c r="BA27" s="213">
        <v>100</v>
      </c>
      <c r="BB27" s="213">
        <v>97</v>
      </c>
      <c r="BC27" s="213">
        <v>93</v>
      </c>
      <c r="BD27" s="213">
        <f t="shared" si="5"/>
        <v>95.428571428571431</v>
      </c>
      <c r="BE27" s="213"/>
      <c r="BF27" s="317">
        <f t="shared" si="0"/>
        <v>95.564484126984112</v>
      </c>
      <c r="BG27" s="218"/>
      <c r="BH27" s="213">
        <v>89</v>
      </c>
      <c r="BI27" s="213" t="e">
        <f t="shared" ref="BI27:BJ29" si="10">AVERAGE(BE27,BG27)</f>
        <v>#DIV/0!</v>
      </c>
      <c r="BJ27" s="213">
        <f t="shared" si="10"/>
        <v>92.282242063492049</v>
      </c>
      <c r="BK27" s="213" t="e">
        <f t="shared" si="7"/>
        <v>#DIV/0!</v>
      </c>
      <c r="BL27" s="59">
        <f t="shared" si="8"/>
        <v>89</v>
      </c>
    </row>
    <row r="28" spans="1:66" ht="18.75" customHeight="1">
      <c r="A28" s="147">
        <v>25</v>
      </c>
      <c r="B28" s="135" t="str">
        <f>VLOOKUP(A28,緊急聯絡!A$2:C$27,3,0)</f>
        <v>林昱萱</v>
      </c>
      <c r="C28" s="213">
        <v>95</v>
      </c>
      <c r="D28" s="213">
        <v>98</v>
      </c>
      <c r="E28" s="213">
        <v>70</v>
      </c>
      <c r="F28" s="213">
        <v>97</v>
      </c>
      <c r="G28" s="213">
        <v>97</v>
      </c>
      <c r="H28" s="213">
        <v>97</v>
      </c>
      <c r="I28" s="213">
        <v>94</v>
      </c>
      <c r="J28" s="213">
        <f t="shared" si="1"/>
        <v>92.571428571428569</v>
      </c>
      <c r="K28" s="213">
        <v>88</v>
      </c>
      <c r="L28" s="213">
        <v>93</v>
      </c>
      <c r="M28" s="213">
        <v>88</v>
      </c>
      <c r="N28" s="213">
        <v>93</v>
      </c>
      <c r="O28" s="213">
        <v>93</v>
      </c>
      <c r="P28" s="213">
        <v>88</v>
      </c>
      <c r="Q28" s="213">
        <v>88</v>
      </c>
      <c r="R28" s="213"/>
      <c r="S28" s="213">
        <f>AVERAGE(K28:Q28)</f>
        <v>90.142857142857139</v>
      </c>
      <c r="T28" s="214">
        <v>72</v>
      </c>
      <c r="U28" s="213">
        <v>91</v>
      </c>
      <c r="V28" s="213">
        <v>77</v>
      </c>
      <c r="W28" s="213">
        <v>81</v>
      </c>
      <c r="X28" s="213">
        <v>80</v>
      </c>
      <c r="Y28" s="213">
        <v>84</v>
      </c>
      <c r="Z28" s="213">
        <v>83</v>
      </c>
      <c r="AA28" s="213"/>
      <c r="AB28" s="213"/>
      <c r="AC28" s="213"/>
      <c r="AD28" s="213">
        <f t="shared" si="2"/>
        <v>81.142857142857139</v>
      </c>
      <c r="AE28" s="213">
        <v>90</v>
      </c>
      <c r="AF28" s="213">
        <v>85</v>
      </c>
      <c r="AG28" s="213">
        <v>91</v>
      </c>
      <c r="AH28" s="213">
        <v>90</v>
      </c>
      <c r="AI28" s="213">
        <v>90</v>
      </c>
      <c r="AJ28" s="213">
        <v>99</v>
      </c>
      <c r="AK28" s="213"/>
      <c r="AL28" s="213"/>
      <c r="AM28" s="213"/>
      <c r="AN28" s="213">
        <f t="shared" si="3"/>
        <v>90.833333333333329</v>
      </c>
      <c r="AO28" s="213">
        <v>94</v>
      </c>
      <c r="AP28" s="213">
        <v>96</v>
      </c>
      <c r="AQ28" s="213">
        <v>90</v>
      </c>
      <c r="AR28" s="213">
        <v>96</v>
      </c>
      <c r="AS28" s="213">
        <v>95</v>
      </c>
      <c r="AT28" s="213">
        <v>95</v>
      </c>
      <c r="AU28" s="213">
        <v>90</v>
      </c>
      <c r="AV28" s="213">
        <f t="shared" si="4"/>
        <v>93.714285714285708</v>
      </c>
      <c r="AW28" s="213">
        <v>93</v>
      </c>
      <c r="AX28" s="213">
        <v>93</v>
      </c>
      <c r="AY28" s="213">
        <v>97</v>
      </c>
      <c r="AZ28" s="213">
        <v>90</v>
      </c>
      <c r="BA28" s="213">
        <v>98</v>
      </c>
      <c r="BB28" s="213">
        <v>85</v>
      </c>
      <c r="BC28" s="213">
        <v>99</v>
      </c>
      <c r="BD28" s="213">
        <f t="shared" si="5"/>
        <v>93.571428571428569</v>
      </c>
      <c r="BE28" s="213"/>
      <c r="BF28" s="317">
        <f t="shared" si="0"/>
        <v>90.329365079365076</v>
      </c>
      <c r="BG28" s="218"/>
      <c r="BH28" s="213">
        <v>75</v>
      </c>
      <c r="BI28" s="213" t="e">
        <f t="shared" si="10"/>
        <v>#DIV/0!</v>
      </c>
      <c r="BJ28" s="213">
        <f t="shared" si="10"/>
        <v>82.664682539682531</v>
      </c>
      <c r="BK28" s="213" t="e">
        <f t="shared" si="7"/>
        <v>#DIV/0!</v>
      </c>
      <c r="BL28" s="59">
        <f t="shared" si="8"/>
        <v>75</v>
      </c>
    </row>
    <row r="29" spans="1:66" ht="18.75" customHeight="1">
      <c r="A29" s="147">
        <v>26</v>
      </c>
      <c r="B29" s="135" t="str">
        <f>VLOOKUP(A29,緊急聯絡!A$2:C$27,3,0)</f>
        <v>李文</v>
      </c>
      <c r="C29" s="213">
        <v>97</v>
      </c>
      <c r="D29" s="213">
        <v>100</v>
      </c>
      <c r="E29" s="213">
        <v>100</v>
      </c>
      <c r="F29" s="213">
        <v>99</v>
      </c>
      <c r="G29" s="213">
        <v>101</v>
      </c>
      <c r="H29" s="213">
        <v>85</v>
      </c>
      <c r="I29" s="213">
        <v>100</v>
      </c>
      <c r="J29" s="213">
        <f t="shared" si="1"/>
        <v>97.428571428571431</v>
      </c>
      <c r="K29" s="213">
        <v>98</v>
      </c>
      <c r="L29" s="213">
        <v>88</v>
      </c>
      <c r="M29" s="213">
        <v>93</v>
      </c>
      <c r="N29" s="213">
        <v>93</v>
      </c>
      <c r="O29" s="213">
        <v>93</v>
      </c>
      <c r="P29" s="213">
        <v>93</v>
      </c>
      <c r="Q29" s="213">
        <v>93</v>
      </c>
      <c r="R29" s="213">
        <v>98</v>
      </c>
      <c r="S29" s="213">
        <f>AVERAGE(K29:R29)</f>
        <v>93.625</v>
      </c>
      <c r="T29" s="214">
        <v>87</v>
      </c>
      <c r="U29" s="213">
        <v>97</v>
      </c>
      <c r="V29" s="213">
        <v>82</v>
      </c>
      <c r="W29" s="213">
        <v>93</v>
      </c>
      <c r="X29" s="213">
        <v>90</v>
      </c>
      <c r="Y29" s="213">
        <v>91</v>
      </c>
      <c r="Z29" s="213">
        <v>93</v>
      </c>
      <c r="AA29" s="213"/>
      <c r="AB29" s="213"/>
      <c r="AC29" s="213"/>
      <c r="AD29" s="213">
        <f t="shared" si="2"/>
        <v>90.428571428571431</v>
      </c>
      <c r="AE29" s="213">
        <v>95</v>
      </c>
      <c r="AF29" s="213">
        <v>98</v>
      </c>
      <c r="AG29" s="213">
        <v>99</v>
      </c>
      <c r="AH29" s="213">
        <v>98</v>
      </c>
      <c r="AI29" s="213">
        <v>96</v>
      </c>
      <c r="AJ29" s="213">
        <v>100</v>
      </c>
      <c r="AK29" s="213"/>
      <c r="AL29" s="213"/>
      <c r="AM29" s="213"/>
      <c r="AN29" s="213">
        <f t="shared" si="3"/>
        <v>97.666666666666671</v>
      </c>
      <c r="AO29" s="213">
        <v>100</v>
      </c>
      <c r="AP29" s="213">
        <v>100</v>
      </c>
      <c r="AQ29" s="213">
        <v>100</v>
      </c>
      <c r="AR29" s="213">
        <v>90</v>
      </c>
      <c r="AS29" s="213">
        <v>100</v>
      </c>
      <c r="AT29" s="213">
        <v>100</v>
      </c>
      <c r="AU29" s="213">
        <v>100</v>
      </c>
      <c r="AV29" s="213">
        <f t="shared" si="4"/>
        <v>98.571428571428569</v>
      </c>
      <c r="AW29" s="213">
        <v>97</v>
      </c>
      <c r="AX29" s="213">
        <v>93</v>
      </c>
      <c r="AY29" s="213">
        <v>94</v>
      </c>
      <c r="AZ29" s="213">
        <v>84</v>
      </c>
      <c r="BA29" s="213">
        <v>100</v>
      </c>
      <c r="BB29" s="213">
        <v>91</v>
      </c>
      <c r="BC29" s="213">
        <v>100</v>
      </c>
      <c r="BD29" s="213">
        <f t="shared" si="5"/>
        <v>94.142857142857139</v>
      </c>
      <c r="BE29" s="213"/>
      <c r="BF29" s="317">
        <f t="shared" si="0"/>
        <v>95.310515873015888</v>
      </c>
      <c r="BG29" s="218"/>
      <c r="BH29" s="213">
        <v>85</v>
      </c>
      <c r="BI29" s="213" t="e">
        <f t="shared" si="10"/>
        <v>#DIV/0!</v>
      </c>
      <c r="BJ29" s="213">
        <f t="shared" si="10"/>
        <v>90.155257936507951</v>
      </c>
      <c r="BK29" s="213" t="e">
        <f t="shared" si="7"/>
        <v>#DIV/0!</v>
      </c>
      <c r="BL29" s="59">
        <f t="shared" si="8"/>
        <v>85</v>
      </c>
    </row>
    <row r="30" spans="1:66" ht="18.75" customHeight="1">
      <c r="A30" s="217">
        <v>29</v>
      </c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4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317"/>
      <c r="BG30" s="218"/>
      <c r="BH30" s="213"/>
      <c r="BI30" s="213"/>
      <c r="BJ30" s="213"/>
      <c r="BK30" s="213"/>
    </row>
    <row r="31" spans="1:66" ht="18.75" customHeight="1">
      <c r="A31" s="217">
        <v>30</v>
      </c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4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317"/>
      <c r="BG31" s="218"/>
      <c r="BH31" s="213"/>
      <c r="BI31" s="213"/>
      <c r="BJ31" s="213"/>
      <c r="BK31" s="213"/>
    </row>
    <row r="32" spans="1:66" ht="18.75" customHeight="1">
      <c r="A32" s="60"/>
      <c r="B32" s="61" t="s">
        <v>214</v>
      </c>
      <c r="C32" s="60">
        <f>AVERAGE(K4:K31)</f>
        <v>93.615384615384613</v>
      </c>
      <c r="D32" s="60">
        <f t="shared" ref="D32:I32" si="11">AVERAGE(L4:L26)</f>
        <v>96.391304347826093</v>
      </c>
      <c r="E32" s="60">
        <f t="shared" si="11"/>
        <v>93.826086956521735</v>
      </c>
      <c r="F32" s="60">
        <f t="shared" si="11"/>
        <v>94.826086956521735</v>
      </c>
      <c r="G32" s="60">
        <f t="shared" si="11"/>
        <v>96.304347826086953</v>
      </c>
      <c r="H32" s="60">
        <f t="shared" si="11"/>
        <v>94.695652173913047</v>
      </c>
      <c r="I32" s="60">
        <f t="shared" si="11"/>
        <v>94.086956521739125</v>
      </c>
      <c r="J32" s="60">
        <f>AVERAGE(S4:S26)</f>
        <v>94.935559006211193</v>
      </c>
      <c r="K32" s="60">
        <f>AVERAGE(C4:C30)</f>
        <v>97.5</v>
      </c>
      <c r="L32" s="60">
        <f t="shared" ref="L32:Q32" si="12">AVERAGE(D4:D26)</f>
        <v>97.217391304347828</v>
      </c>
      <c r="M32" s="60">
        <f t="shared" si="12"/>
        <v>97</v>
      </c>
      <c r="N32" s="60">
        <f t="shared" si="12"/>
        <v>97.043478260869563</v>
      </c>
      <c r="O32" s="60">
        <f t="shared" si="12"/>
        <v>98.434782608695656</v>
      </c>
      <c r="P32" s="60">
        <f t="shared" si="12"/>
        <v>98.913043478260875</v>
      </c>
      <c r="Q32" s="60">
        <f t="shared" si="12"/>
        <v>98.478260869565219</v>
      </c>
      <c r="R32" s="60"/>
      <c r="S32" s="60">
        <f>AVERAGE(J4:J26)</f>
        <v>97.863354037267086</v>
      </c>
      <c r="T32" s="60">
        <f t="shared" ref="T32:BD32" si="13">AVERAGE(T4:T26)</f>
        <v>91.521739130434781</v>
      </c>
      <c r="U32" s="60">
        <f t="shared" si="13"/>
        <v>91.347826086956516</v>
      </c>
      <c r="V32" s="60">
        <f t="shared" si="13"/>
        <v>90.608695652173907</v>
      </c>
      <c r="W32" s="60">
        <f t="shared" si="13"/>
        <v>95.130434782608702</v>
      </c>
      <c r="X32" s="60">
        <f t="shared" si="13"/>
        <v>87.130434782608702</v>
      </c>
      <c r="Y32" s="60">
        <f t="shared" si="13"/>
        <v>94.227272727272734</v>
      </c>
      <c r="Z32" s="60">
        <f t="shared" si="13"/>
        <v>92.913043478260875</v>
      </c>
      <c r="AA32" s="60" t="e">
        <f t="shared" si="13"/>
        <v>#DIV/0!</v>
      </c>
      <c r="AB32" s="60" t="e">
        <f t="shared" si="13"/>
        <v>#DIV/0!</v>
      </c>
      <c r="AC32" s="60" t="e">
        <f t="shared" si="13"/>
        <v>#DIV/0!</v>
      </c>
      <c r="AD32" s="60">
        <f t="shared" si="13"/>
        <v>92.032091097308495</v>
      </c>
      <c r="AE32" s="60">
        <f t="shared" si="13"/>
        <v>93.913043478260875</v>
      </c>
      <c r="AF32" s="60">
        <f t="shared" si="13"/>
        <v>94.652173913043484</v>
      </c>
      <c r="AG32" s="60">
        <f t="shared" si="13"/>
        <v>96.260869565217391</v>
      </c>
      <c r="AH32" s="60">
        <f t="shared" si="13"/>
        <v>95.391304347826093</v>
      </c>
      <c r="AI32" s="60">
        <f t="shared" si="13"/>
        <v>93.782608695652172</v>
      </c>
      <c r="AJ32" s="60">
        <f t="shared" si="13"/>
        <v>97.869565217391298</v>
      </c>
      <c r="AK32" s="60" t="e">
        <f t="shared" si="13"/>
        <v>#DIV/0!</v>
      </c>
      <c r="AL32" s="60" t="e">
        <f t="shared" si="13"/>
        <v>#DIV/0!</v>
      </c>
      <c r="AM32" s="60" t="e">
        <f t="shared" si="13"/>
        <v>#DIV/0!</v>
      </c>
      <c r="AN32" s="60">
        <f t="shared" si="13"/>
        <v>95.311594202898561</v>
      </c>
      <c r="AO32" s="60">
        <f t="shared" si="13"/>
        <v>96.521739130434781</v>
      </c>
      <c r="AP32" s="60">
        <f t="shared" si="13"/>
        <v>95.826086956521735</v>
      </c>
      <c r="AQ32" s="60">
        <f t="shared" si="13"/>
        <v>96.173913043478265</v>
      </c>
      <c r="AR32" s="60">
        <f t="shared" si="13"/>
        <v>95.652173913043484</v>
      </c>
      <c r="AS32" s="60">
        <f t="shared" si="13"/>
        <v>96.304347826086953</v>
      </c>
      <c r="AT32" s="60">
        <f t="shared" si="13"/>
        <v>97.956521739130437</v>
      </c>
      <c r="AU32" s="60">
        <f t="shared" si="13"/>
        <v>97.826086956521735</v>
      </c>
      <c r="AV32" s="60">
        <f t="shared" si="13"/>
        <v>96.608695652173935</v>
      </c>
      <c r="AW32" s="60">
        <f t="shared" si="13"/>
        <v>96</v>
      </c>
      <c r="AX32" s="60">
        <f t="shared" si="13"/>
        <v>96</v>
      </c>
      <c r="AY32" s="60">
        <f t="shared" si="13"/>
        <v>97.043478260869563</v>
      </c>
      <c r="AZ32" s="60">
        <f t="shared" si="13"/>
        <v>93.782608695652172</v>
      </c>
      <c r="BA32" s="60">
        <f t="shared" si="13"/>
        <v>97.260869565217391</v>
      </c>
      <c r="BB32" s="60">
        <f t="shared" si="13"/>
        <v>97.347826086956516</v>
      </c>
      <c r="BC32" s="60">
        <f t="shared" si="13"/>
        <v>96.272727272727266</v>
      </c>
      <c r="BD32" s="60">
        <f t="shared" si="13"/>
        <v>96.25155279503106</v>
      </c>
      <c r="BE32" s="60" t="e">
        <f>AVERAGE(BE4:BE30)</f>
        <v>#DIV/0!</v>
      </c>
      <c r="BF32" s="60">
        <f>AVERAGE(BF4:BF26)</f>
        <v>95.500474465148372</v>
      </c>
      <c r="BG32" s="60" t="e">
        <f>AVERAGE(BG4:BG30)</f>
        <v>#DIV/0!</v>
      </c>
      <c r="BH32" s="60">
        <f>AVERAGE(BH4:BH31)</f>
        <v>86.884615384615387</v>
      </c>
      <c r="BI32" s="60" t="e">
        <f>AVERAGE(BI4:BI26)</f>
        <v>#DIV/0!</v>
      </c>
      <c r="BJ32" s="60">
        <f>AVERAGE(BJ4:BJ26)</f>
        <v>91.445889406487225</v>
      </c>
      <c r="BK32" s="60" t="e">
        <f>AVERAGE(BK4:BK26)</f>
        <v>#DIV/0!</v>
      </c>
      <c r="BM32" s="59" t="s">
        <v>371</v>
      </c>
      <c r="BN32" s="59">
        <v>90.84</v>
      </c>
    </row>
    <row r="33" spans="2:66">
      <c r="B33" s="59">
        <v>100</v>
      </c>
      <c r="C33" s="59">
        <f t="shared" ref="C33:I33" si="14">COUNTIF(K$4:K$31,"=100")</f>
        <v>3</v>
      </c>
      <c r="D33" s="59">
        <f t="shared" si="14"/>
        <v>4</v>
      </c>
      <c r="E33" s="59">
        <f t="shared" si="14"/>
        <v>2</v>
      </c>
      <c r="F33" s="59">
        <f t="shared" si="14"/>
        <v>1</v>
      </c>
      <c r="G33" s="59">
        <f t="shared" si="14"/>
        <v>3</v>
      </c>
      <c r="H33" s="59">
        <f t="shared" si="14"/>
        <v>2</v>
      </c>
      <c r="I33" s="59">
        <f t="shared" si="14"/>
        <v>0</v>
      </c>
      <c r="J33" s="59">
        <f>COUNTIF(S$4:S$31,"=100")</f>
        <v>0</v>
      </c>
      <c r="K33" s="59">
        <f t="shared" ref="K33:Q33" si="15">COUNTIF(C$4:C$31,"=100")</f>
        <v>7</v>
      </c>
      <c r="L33" s="59">
        <f t="shared" si="15"/>
        <v>4</v>
      </c>
      <c r="M33" s="59">
        <f t="shared" si="15"/>
        <v>8</v>
      </c>
      <c r="N33" s="59">
        <f t="shared" si="15"/>
        <v>5</v>
      </c>
      <c r="O33" s="59">
        <f t="shared" si="15"/>
        <v>9</v>
      </c>
      <c r="P33" s="59">
        <f t="shared" si="15"/>
        <v>11</v>
      </c>
      <c r="Q33" s="59">
        <f t="shared" si="15"/>
        <v>9</v>
      </c>
      <c r="S33" s="59">
        <f>COUNTIF(J$4:J$31,"=100")</f>
        <v>1</v>
      </c>
      <c r="T33" s="59">
        <f t="shared" ref="T33:BK33" si="16">COUNTIF(T$4:T$31,"=100")</f>
        <v>4</v>
      </c>
      <c r="U33" s="59">
        <f t="shared" si="16"/>
        <v>0</v>
      </c>
      <c r="V33" s="59">
        <f t="shared" si="16"/>
        <v>2</v>
      </c>
      <c r="W33" s="59">
        <f t="shared" si="16"/>
        <v>3</v>
      </c>
      <c r="X33" s="59">
        <f t="shared" si="16"/>
        <v>1</v>
      </c>
      <c r="Y33" s="59">
        <f t="shared" si="16"/>
        <v>5</v>
      </c>
      <c r="Z33" s="59">
        <f t="shared" si="16"/>
        <v>3</v>
      </c>
      <c r="AA33" s="59">
        <f t="shared" si="16"/>
        <v>0</v>
      </c>
      <c r="AB33" s="59">
        <f t="shared" si="16"/>
        <v>0</v>
      </c>
      <c r="AC33" s="59">
        <f t="shared" si="16"/>
        <v>0</v>
      </c>
      <c r="AD33" s="59">
        <f t="shared" si="16"/>
        <v>0</v>
      </c>
      <c r="AE33" s="59">
        <f t="shared" si="16"/>
        <v>0</v>
      </c>
      <c r="AF33" s="59">
        <f t="shared" si="16"/>
        <v>2</v>
      </c>
      <c r="AG33" s="59">
        <f t="shared" si="16"/>
        <v>3</v>
      </c>
      <c r="AH33" s="59">
        <f t="shared" si="16"/>
        <v>4</v>
      </c>
      <c r="AI33" s="59">
        <f t="shared" si="16"/>
        <v>5</v>
      </c>
      <c r="AJ33" s="59">
        <f t="shared" si="16"/>
        <v>9</v>
      </c>
      <c r="AK33" s="59">
        <f t="shared" si="16"/>
        <v>0</v>
      </c>
      <c r="AL33" s="59">
        <f t="shared" si="16"/>
        <v>0</v>
      </c>
      <c r="AM33" s="59">
        <f t="shared" si="16"/>
        <v>0</v>
      </c>
      <c r="AN33" s="59">
        <f t="shared" si="16"/>
        <v>0</v>
      </c>
      <c r="AO33" s="59">
        <f t="shared" si="16"/>
        <v>12</v>
      </c>
      <c r="AP33" s="59">
        <f t="shared" si="16"/>
        <v>7</v>
      </c>
      <c r="AQ33" s="59">
        <f t="shared" si="16"/>
        <v>10</v>
      </c>
      <c r="AR33" s="59">
        <f t="shared" si="16"/>
        <v>12</v>
      </c>
      <c r="AS33" s="59">
        <f t="shared" si="16"/>
        <v>11</v>
      </c>
      <c r="AT33" s="59">
        <f t="shared" si="16"/>
        <v>11</v>
      </c>
      <c r="AU33" s="59">
        <f t="shared" si="16"/>
        <v>17</v>
      </c>
      <c r="AV33" s="59">
        <f t="shared" si="16"/>
        <v>0</v>
      </c>
      <c r="AW33" s="59">
        <f t="shared" si="16"/>
        <v>5</v>
      </c>
      <c r="AX33" s="59">
        <f t="shared" si="16"/>
        <v>7</v>
      </c>
      <c r="AY33" s="59">
        <f t="shared" si="16"/>
        <v>8</v>
      </c>
      <c r="AZ33" s="59">
        <f t="shared" si="16"/>
        <v>4</v>
      </c>
      <c r="BA33" s="59">
        <f t="shared" si="16"/>
        <v>12</v>
      </c>
      <c r="BB33" s="59">
        <f t="shared" si="16"/>
        <v>9</v>
      </c>
      <c r="BC33" s="59">
        <f t="shared" si="16"/>
        <v>9</v>
      </c>
      <c r="BD33" s="59">
        <f t="shared" si="16"/>
        <v>1</v>
      </c>
      <c r="BE33" s="59">
        <f t="shared" si="16"/>
        <v>0</v>
      </c>
      <c r="BF33" s="59">
        <f t="shared" si="16"/>
        <v>0</v>
      </c>
      <c r="BG33" s="59">
        <f t="shared" si="16"/>
        <v>0</v>
      </c>
      <c r="BH33" s="59">
        <f t="shared" si="16"/>
        <v>0</v>
      </c>
      <c r="BI33" s="59">
        <f t="shared" si="16"/>
        <v>0</v>
      </c>
      <c r="BJ33" s="59">
        <f t="shared" si="16"/>
        <v>0</v>
      </c>
      <c r="BK33" s="59">
        <f t="shared" si="16"/>
        <v>0</v>
      </c>
      <c r="BM33" s="59">
        <v>100</v>
      </c>
      <c r="BN33" s="59">
        <v>1</v>
      </c>
    </row>
    <row r="34" spans="2:66">
      <c r="B34" s="59">
        <v>90</v>
      </c>
      <c r="C34" s="59">
        <f t="shared" ref="C34:I34" si="17">COUNTIF(K$4:K$31,"&gt;89")-C33</f>
        <v>16</v>
      </c>
      <c r="D34" s="59">
        <f t="shared" si="17"/>
        <v>19</v>
      </c>
      <c r="E34" s="59">
        <f t="shared" si="17"/>
        <v>17</v>
      </c>
      <c r="F34" s="59">
        <f t="shared" si="17"/>
        <v>22</v>
      </c>
      <c r="G34" s="59">
        <f t="shared" si="17"/>
        <v>21</v>
      </c>
      <c r="H34" s="59">
        <f t="shared" si="17"/>
        <v>19</v>
      </c>
      <c r="I34" s="59">
        <f t="shared" si="17"/>
        <v>21</v>
      </c>
      <c r="J34" s="59">
        <f>COUNTIF(S$4:S$31,"&gt;89")-J33</f>
        <v>26</v>
      </c>
      <c r="K34" s="59">
        <f t="shared" ref="K34:Q34" si="18">COUNTIF(C$4:C$31,"&gt;89")-K33</f>
        <v>18</v>
      </c>
      <c r="L34" s="59">
        <f t="shared" si="18"/>
        <v>21</v>
      </c>
      <c r="M34" s="59">
        <f t="shared" si="18"/>
        <v>17</v>
      </c>
      <c r="N34" s="59">
        <f t="shared" si="18"/>
        <v>21</v>
      </c>
      <c r="O34" s="59">
        <f t="shared" si="18"/>
        <v>17</v>
      </c>
      <c r="P34" s="59">
        <f t="shared" si="18"/>
        <v>14</v>
      </c>
      <c r="Q34" s="59">
        <f t="shared" si="18"/>
        <v>16</v>
      </c>
      <c r="S34" s="59">
        <f>COUNTIF(J$4:J$31,"&gt;89")-S33</f>
        <v>25</v>
      </c>
      <c r="T34" s="59">
        <f t="shared" ref="T34:BK34" si="19">COUNTIF(T$4:T$31,"&gt;89")-T33</f>
        <v>12</v>
      </c>
      <c r="U34" s="59">
        <f t="shared" si="19"/>
        <v>21</v>
      </c>
      <c r="V34" s="59">
        <f t="shared" si="19"/>
        <v>12</v>
      </c>
      <c r="W34" s="59">
        <f t="shared" si="19"/>
        <v>20</v>
      </c>
      <c r="X34" s="59">
        <f t="shared" si="19"/>
        <v>9</v>
      </c>
      <c r="Y34" s="59">
        <f t="shared" si="19"/>
        <v>16</v>
      </c>
      <c r="Z34" s="59">
        <f t="shared" si="19"/>
        <v>17</v>
      </c>
      <c r="AA34" s="59">
        <f t="shared" si="19"/>
        <v>0</v>
      </c>
      <c r="AB34" s="59">
        <f t="shared" si="19"/>
        <v>0</v>
      </c>
      <c r="AC34" s="59">
        <f t="shared" si="19"/>
        <v>0</v>
      </c>
      <c r="AD34" s="59">
        <f t="shared" si="19"/>
        <v>19</v>
      </c>
      <c r="AE34" s="59">
        <f t="shared" si="19"/>
        <v>24</v>
      </c>
      <c r="AF34" s="59">
        <f t="shared" si="19"/>
        <v>20</v>
      </c>
      <c r="AG34" s="59">
        <f t="shared" si="19"/>
        <v>22</v>
      </c>
      <c r="AH34" s="59">
        <f t="shared" si="19"/>
        <v>19</v>
      </c>
      <c r="AI34" s="59">
        <f t="shared" si="19"/>
        <v>15</v>
      </c>
      <c r="AJ34" s="59">
        <f t="shared" si="19"/>
        <v>17</v>
      </c>
      <c r="AK34" s="59">
        <f t="shared" si="19"/>
        <v>0</v>
      </c>
      <c r="AL34" s="59">
        <f t="shared" si="19"/>
        <v>0</v>
      </c>
      <c r="AM34" s="59">
        <f t="shared" si="19"/>
        <v>0</v>
      </c>
      <c r="AN34" s="59">
        <f t="shared" si="19"/>
        <v>24</v>
      </c>
      <c r="AO34" s="59">
        <f t="shared" si="19"/>
        <v>12</v>
      </c>
      <c r="AP34" s="59">
        <f t="shared" si="19"/>
        <v>19</v>
      </c>
      <c r="AQ34" s="59">
        <f t="shared" si="19"/>
        <v>14</v>
      </c>
      <c r="AR34" s="59">
        <f t="shared" si="19"/>
        <v>12</v>
      </c>
      <c r="AS34" s="59">
        <f t="shared" si="19"/>
        <v>13</v>
      </c>
      <c r="AT34" s="59">
        <f t="shared" si="19"/>
        <v>15</v>
      </c>
      <c r="AU34" s="59">
        <f t="shared" si="19"/>
        <v>8</v>
      </c>
      <c r="AV34" s="59">
        <f t="shared" si="19"/>
        <v>26</v>
      </c>
      <c r="AW34" s="59">
        <f t="shared" si="19"/>
        <v>20</v>
      </c>
      <c r="AX34" s="59">
        <f t="shared" si="19"/>
        <v>18</v>
      </c>
      <c r="AY34" s="59">
        <f t="shared" si="19"/>
        <v>18</v>
      </c>
      <c r="AZ34" s="59">
        <f t="shared" si="19"/>
        <v>17</v>
      </c>
      <c r="BA34" s="59">
        <f t="shared" si="19"/>
        <v>13</v>
      </c>
      <c r="BB34" s="59">
        <f t="shared" si="19"/>
        <v>15</v>
      </c>
      <c r="BC34" s="59">
        <f t="shared" si="19"/>
        <v>15</v>
      </c>
      <c r="BD34" s="59">
        <f t="shared" si="19"/>
        <v>24</v>
      </c>
      <c r="BE34" s="59">
        <f t="shared" si="19"/>
        <v>0</v>
      </c>
      <c r="BF34" s="59">
        <f t="shared" si="19"/>
        <v>25</v>
      </c>
      <c r="BG34" s="59">
        <f t="shared" si="19"/>
        <v>0</v>
      </c>
      <c r="BH34" s="59">
        <f t="shared" si="19"/>
        <v>12</v>
      </c>
      <c r="BI34" s="59">
        <f t="shared" si="19"/>
        <v>0</v>
      </c>
      <c r="BJ34" s="59">
        <f t="shared" si="19"/>
        <v>18</v>
      </c>
      <c r="BK34" s="59">
        <f t="shared" si="19"/>
        <v>0</v>
      </c>
      <c r="BM34" s="59">
        <v>90</v>
      </c>
      <c r="BN34" s="59">
        <v>20</v>
      </c>
    </row>
    <row r="35" spans="2:66">
      <c r="B35" s="59">
        <v>80</v>
      </c>
      <c r="C35" s="59">
        <f t="shared" ref="C35:I35" si="20">COUNTIF(K$4:K$31,"&gt;79")-C34-C33</f>
        <v>7</v>
      </c>
      <c r="D35" s="59">
        <f t="shared" si="20"/>
        <v>3</v>
      </c>
      <c r="E35" s="59">
        <f t="shared" si="20"/>
        <v>7</v>
      </c>
      <c r="F35" s="59">
        <f t="shared" si="20"/>
        <v>3</v>
      </c>
      <c r="G35" s="59">
        <f t="shared" si="20"/>
        <v>2</v>
      </c>
      <c r="H35" s="59">
        <f t="shared" si="20"/>
        <v>5</v>
      </c>
      <c r="I35" s="59">
        <f t="shared" si="20"/>
        <v>5</v>
      </c>
      <c r="J35" s="59">
        <f>COUNTIF(S$4:S$31,"&gt;79")-J34-J33</f>
        <v>0</v>
      </c>
      <c r="K35" s="59">
        <f t="shared" ref="K35:Q35" si="21">COUNTIF(C$4:C$31,"&gt;79")-K34-K33</f>
        <v>1</v>
      </c>
      <c r="L35" s="59">
        <f t="shared" si="21"/>
        <v>1</v>
      </c>
      <c r="M35" s="59">
        <f t="shared" si="21"/>
        <v>0</v>
      </c>
      <c r="N35" s="59">
        <f t="shared" si="21"/>
        <v>0</v>
      </c>
      <c r="O35" s="59">
        <f t="shared" si="21"/>
        <v>0</v>
      </c>
      <c r="P35" s="59">
        <f t="shared" si="21"/>
        <v>1</v>
      </c>
      <c r="Q35" s="59">
        <f t="shared" si="21"/>
        <v>1</v>
      </c>
      <c r="S35" s="59">
        <f>COUNTIF(J$4:J$31,"&gt;79")-S34-S33</f>
        <v>0</v>
      </c>
      <c r="T35" s="59">
        <f t="shared" ref="T35:BK35" si="22">COUNTIF(T$4:T$31,"&gt;79")-T34-T33</f>
        <v>7</v>
      </c>
      <c r="U35" s="59">
        <f t="shared" si="22"/>
        <v>3</v>
      </c>
      <c r="V35" s="59">
        <f t="shared" si="22"/>
        <v>10</v>
      </c>
      <c r="W35" s="59">
        <f t="shared" si="22"/>
        <v>3</v>
      </c>
      <c r="X35" s="59">
        <f t="shared" si="22"/>
        <v>14</v>
      </c>
      <c r="Y35" s="59">
        <f t="shared" si="22"/>
        <v>3</v>
      </c>
      <c r="Z35" s="59">
        <f t="shared" si="22"/>
        <v>4</v>
      </c>
      <c r="AA35" s="59">
        <f t="shared" si="22"/>
        <v>0</v>
      </c>
      <c r="AB35" s="59">
        <f t="shared" si="22"/>
        <v>0</v>
      </c>
      <c r="AC35" s="59">
        <f t="shared" si="22"/>
        <v>0</v>
      </c>
      <c r="AD35" s="59">
        <f t="shared" si="22"/>
        <v>6</v>
      </c>
      <c r="AE35" s="59">
        <f t="shared" si="22"/>
        <v>2</v>
      </c>
      <c r="AF35" s="59">
        <f t="shared" si="22"/>
        <v>3</v>
      </c>
      <c r="AG35" s="59">
        <f t="shared" si="22"/>
        <v>1</v>
      </c>
      <c r="AH35" s="59">
        <f t="shared" si="22"/>
        <v>3</v>
      </c>
      <c r="AI35" s="59">
        <f t="shared" si="22"/>
        <v>6</v>
      </c>
      <c r="AJ35" s="59">
        <f t="shared" si="22"/>
        <v>0</v>
      </c>
      <c r="AK35" s="59">
        <f t="shared" si="22"/>
        <v>0</v>
      </c>
      <c r="AL35" s="59">
        <f t="shared" si="22"/>
        <v>0</v>
      </c>
      <c r="AM35" s="59">
        <f t="shared" si="22"/>
        <v>0</v>
      </c>
      <c r="AN35" s="59">
        <f t="shared" si="22"/>
        <v>2</v>
      </c>
      <c r="AO35" s="59">
        <f t="shared" si="22"/>
        <v>2</v>
      </c>
      <c r="AP35" s="59">
        <f t="shared" si="22"/>
        <v>0</v>
      </c>
      <c r="AQ35" s="59">
        <f t="shared" si="22"/>
        <v>2</v>
      </c>
      <c r="AR35" s="59">
        <f t="shared" si="22"/>
        <v>2</v>
      </c>
      <c r="AS35" s="59">
        <f t="shared" si="22"/>
        <v>2</v>
      </c>
      <c r="AT35" s="59">
        <f t="shared" si="22"/>
        <v>0</v>
      </c>
      <c r="AU35" s="59">
        <f t="shared" si="22"/>
        <v>1</v>
      </c>
      <c r="AV35" s="59">
        <f t="shared" si="22"/>
        <v>0</v>
      </c>
      <c r="AW35" s="59">
        <f t="shared" si="22"/>
        <v>1</v>
      </c>
      <c r="AX35" s="59">
        <f t="shared" si="22"/>
        <v>1</v>
      </c>
      <c r="AY35" s="59">
        <f t="shared" si="22"/>
        <v>0</v>
      </c>
      <c r="AZ35" s="59">
        <f t="shared" si="22"/>
        <v>4</v>
      </c>
      <c r="BA35" s="59">
        <f t="shared" si="22"/>
        <v>1</v>
      </c>
      <c r="BB35" s="59">
        <f t="shared" si="22"/>
        <v>2</v>
      </c>
      <c r="BC35" s="59">
        <f t="shared" si="22"/>
        <v>0</v>
      </c>
      <c r="BD35" s="59">
        <f t="shared" si="22"/>
        <v>1</v>
      </c>
      <c r="BE35" s="59">
        <f t="shared" si="22"/>
        <v>0</v>
      </c>
      <c r="BF35" s="59">
        <f t="shared" si="22"/>
        <v>1</v>
      </c>
      <c r="BG35" s="59">
        <f t="shared" si="22"/>
        <v>0</v>
      </c>
      <c r="BH35" s="59">
        <f t="shared" si="22"/>
        <v>10</v>
      </c>
      <c r="BI35" s="59">
        <f t="shared" si="22"/>
        <v>0</v>
      </c>
      <c r="BJ35" s="59">
        <f t="shared" si="22"/>
        <v>8</v>
      </c>
      <c r="BK35" s="59">
        <f t="shared" si="22"/>
        <v>0</v>
      </c>
      <c r="BM35" s="59">
        <v>80</v>
      </c>
      <c r="BN35" s="59">
        <v>6</v>
      </c>
    </row>
    <row r="36" spans="2:66">
      <c r="B36" s="59">
        <v>70</v>
      </c>
      <c r="C36" s="59">
        <f t="shared" ref="C36:I36" si="23">COUNTIF(K$4:K$31,"&gt;69")-C35-C34-C33</f>
        <v>0</v>
      </c>
      <c r="D36" s="59">
        <f t="shared" si="23"/>
        <v>0</v>
      </c>
      <c r="E36" s="59">
        <f t="shared" si="23"/>
        <v>0</v>
      </c>
      <c r="F36" s="59">
        <f t="shared" si="23"/>
        <v>0</v>
      </c>
      <c r="G36" s="59">
        <f t="shared" si="23"/>
        <v>0</v>
      </c>
      <c r="H36" s="59">
        <f t="shared" si="23"/>
        <v>0</v>
      </c>
      <c r="I36" s="59">
        <f t="shared" si="23"/>
        <v>0</v>
      </c>
      <c r="J36" s="59">
        <f>COUNTIF(S$4:S$31,"&gt;69")-J35-J34-J33</f>
        <v>0</v>
      </c>
      <c r="K36" s="59">
        <f t="shared" ref="K36:Q36" si="24">COUNTIF(C$4:C$31,"&gt;69")-K35-K34-K33</f>
        <v>0</v>
      </c>
      <c r="L36" s="59">
        <f t="shared" si="24"/>
        <v>0</v>
      </c>
      <c r="M36" s="59">
        <f t="shared" si="24"/>
        <v>1</v>
      </c>
      <c r="N36" s="59">
        <f t="shared" si="24"/>
        <v>0</v>
      </c>
      <c r="O36" s="59">
        <f t="shared" si="24"/>
        <v>0</v>
      </c>
      <c r="P36" s="59">
        <f t="shared" si="24"/>
        <v>0</v>
      </c>
      <c r="Q36" s="59">
        <f t="shared" si="24"/>
        <v>0</v>
      </c>
      <c r="S36" s="59">
        <f>COUNTIF(J$4:J$31,"&gt;69")-S35-S34-S33</f>
        <v>0</v>
      </c>
      <c r="T36" s="59">
        <f t="shared" ref="T36:BK36" si="25">COUNTIF(T$4:T$31,"&gt;69")-T35-T34-T33</f>
        <v>3</v>
      </c>
      <c r="U36" s="59">
        <f t="shared" si="25"/>
        <v>2</v>
      </c>
      <c r="V36" s="59">
        <f t="shared" si="25"/>
        <v>2</v>
      </c>
      <c r="W36" s="59">
        <f t="shared" si="25"/>
        <v>0</v>
      </c>
      <c r="X36" s="59">
        <f t="shared" si="25"/>
        <v>2</v>
      </c>
      <c r="Y36" s="59">
        <f t="shared" si="25"/>
        <v>1</v>
      </c>
      <c r="Z36" s="59">
        <f t="shared" si="25"/>
        <v>2</v>
      </c>
      <c r="AA36" s="59">
        <f t="shared" si="25"/>
        <v>0</v>
      </c>
      <c r="AB36" s="59">
        <f t="shared" si="25"/>
        <v>0</v>
      </c>
      <c r="AC36" s="59">
        <f t="shared" si="25"/>
        <v>0</v>
      </c>
      <c r="AD36" s="59">
        <f t="shared" si="25"/>
        <v>1</v>
      </c>
      <c r="AE36" s="59">
        <f t="shared" si="25"/>
        <v>0</v>
      </c>
      <c r="AF36" s="59">
        <f t="shared" si="25"/>
        <v>1</v>
      </c>
      <c r="AG36" s="59">
        <f t="shared" si="25"/>
        <v>0</v>
      </c>
      <c r="AH36" s="59">
        <f t="shared" si="25"/>
        <v>0</v>
      </c>
      <c r="AI36" s="59">
        <f t="shared" si="25"/>
        <v>0</v>
      </c>
      <c r="AJ36" s="59">
        <f t="shared" si="25"/>
        <v>0</v>
      </c>
      <c r="AK36" s="59">
        <f t="shared" si="25"/>
        <v>0</v>
      </c>
      <c r="AL36" s="59">
        <f t="shared" si="25"/>
        <v>0</v>
      </c>
      <c r="AM36" s="59">
        <f t="shared" si="25"/>
        <v>0</v>
      </c>
      <c r="AN36" s="59">
        <f t="shared" si="25"/>
        <v>0</v>
      </c>
      <c r="AO36" s="59">
        <f t="shared" si="25"/>
        <v>0</v>
      </c>
      <c r="AP36" s="59">
        <f t="shared" si="25"/>
        <v>0</v>
      </c>
      <c r="AQ36" s="59">
        <f t="shared" si="25"/>
        <v>0</v>
      </c>
      <c r="AR36" s="59">
        <f t="shared" si="25"/>
        <v>0</v>
      </c>
      <c r="AS36" s="59">
        <f t="shared" si="25"/>
        <v>0</v>
      </c>
      <c r="AT36" s="59">
        <f t="shared" si="25"/>
        <v>0</v>
      </c>
      <c r="AU36" s="59">
        <f t="shared" si="25"/>
        <v>0</v>
      </c>
      <c r="AV36" s="59">
        <f t="shared" si="25"/>
        <v>0</v>
      </c>
      <c r="AW36" s="59">
        <f t="shared" si="25"/>
        <v>0</v>
      </c>
      <c r="AX36" s="59">
        <f t="shared" si="25"/>
        <v>0</v>
      </c>
      <c r="AY36" s="59">
        <f t="shared" si="25"/>
        <v>0</v>
      </c>
      <c r="AZ36" s="59">
        <f t="shared" si="25"/>
        <v>1</v>
      </c>
      <c r="BA36" s="59">
        <f t="shared" si="25"/>
        <v>0</v>
      </c>
      <c r="BB36" s="59">
        <f t="shared" si="25"/>
        <v>0</v>
      </c>
      <c r="BC36" s="59">
        <f t="shared" si="25"/>
        <v>1</v>
      </c>
      <c r="BD36" s="59">
        <f t="shared" si="25"/>
        <v>0</v>
      </c>
      <c r="BE36" s="59">
        <f t="shared" si="25"/>
        <v>0</v>
      </c>
      <c r="BF36" s="59">
        <f t="shared" si="25"/>
        <v>0</v>
      </c>
      <c r="BG36" s="59">
        <f t="shared" si="25"/>
        <v>0</v>
      </c>
      <c r="BH36" s="59">
        <f t="shared" si="25"/>
        <v>3</v>
      </c>
      <c r="BI36" s="59">
        <f t="shared" si="25"/>
        <v>0</v>
      </c>
      <c r="BJ36" s="59">
        <f t="shared" si="25"/>
        <v>0</v>
      </c>
      <c r="BK36" s="59">
        <f t="shared" si="25"/>
        <v>0</v>
      </c>
      <c r="BM36" s="59">
        <v>70</v>
      </c>
      <c r="BN36" s="59">
        <v>1</v>
      </c>
    </row>
    <row r="37" spans="2:66">
      <c r="B37" s="59">
        <v>60</v>
      </c>
      <c r="C37" s="59">
        <f t="shared" ref="C37:I37" si="26">COUNTIF(K$4:K$31,"&gt;59")-C36-C35-C34-C33</f>
        <v>0</v>
      </c>
      <c r="D37" s="59">
        <f t="shared" si="26"/>
        <v>0</v>
      </c>
      <c r="E37" s="59">
        <f t="shared" si="26"/>
        <v>0</v>
      </c>
      <c r="F37" s="59">
        <f t="shared" si="26"/>
        <v>0</v>
      </c>
      <c r="G37" s="59">
        <f t="shared" si="26"/>
        <v>0</v>
      </c>
      <c r="H37" s="59">
        <f t="shared" si="26"/>
        <v>0</v>
      </c>
      <c r="I37" s="59">
        <f t="shared" si="26"/>
        <v>0</v>
      </c>
      <c r="J37" s="59">
        <f>COUNTIF(S$4:S$31,"&gt;59")-J36-J35-J34-J33</f>
        <v>0</v>
      </c>
      <c r="K37" s="59">
        <f t="shared" ref="K37:Q37" si="27">COUNTIF(C$4:C$31,"&gt;59")-K36-K35-K34-K33</f>
        <v>0</v>
      </c>
      <c r="L37" s="59">
        <f t="shared" si="27"/>
        <v>0</v>
      </c>
      <c r="M37" s="59">
        <f t="shared" si="27"/>
        <v>0</v>
      </c>
      <c r="N37" s="59">
        <f t="shared" si="27"/>
        <v>0</v>
      </c>
      <c r="O37" s="59">
        <f t="shared" si="27"/>
        <v>0</v>
      </c>
      <c r="P37" s="59">
        <f t="shared" si="27"/>
        <v>0</v>
      </c>
      <c r="Q37" s="59">
        <f t="shared" si="27"/>
        <v>0</v>
      </c>
      <c r="S37" s="59">
        <f>COUNTIF(J$4:J$31,"&gt;59")-S36-S35-S34-S33</f>
        <v>0</v>
      </c>
      <c r="T37" s="59">
        <f t="shared" ref="T37:BK37" si="28">COUNTIF(T$4:T$31,"&gt;59")-T36-T35-T34-T33</f>
        <v>0</v>
      </c>
      <c r="U37" s="59">
        <f t="shared" si="28"/>
        <v>0</v>
      </c>
      <c r="V37" s="59">
        <f t="shared" si="28"/>
        <v>0</v>
      </c>
      <c r="W37" s="59">
        <f t="shared" si="28"/>
        <v>0</v>
      </c>
      <c r="X37" s="59">
        <f t="shared" si="28"/>
        <v>0</v>
      </c>
      <c r="Y37" s="59">
        <f t="shared" si="28"/>
        <v>0</v>
      </c>
      <c r="Z37" s="59">
        <f t="shared" si="28"/>
        <v>0</v>
      </c>
      <c r="AA37" s="59">
        <f t="shared" si="28"/>
        <v>0</v>
      </c>
      <c r="AB37" s="59">
        <f t="shared" si="28"/>
        <v>0</v>
      </c>
      <c r="AC37" s="59">
        <f t="shared" si="28"/>
        <v>0</v>
      </c>
      <c r="AD37" s="59">
        <f t="shared" si="28"/>
        <v>0</v>
      </c>
      <c r="AE37" s="59">
        <f t="shared" si="28"/>
        <v>0</v>
      </c>
      <c r="AF37" s="59">
        <f t="shared" si="28"/>
        <v>0</v>
      </c>
      <c r="AG37" s="59">
        <f t="shared" si="28"/>
        <v>0</v>
      </c>
      <c r="AH37" s="59">
        <f t="shared" si="28"/>
        <v>0</v>
      </c>
      <c r="AI37" s="59">
        <f t="shared" si="28"/>
        <v>0</v>
      </c>
      <c r="AJ37" s="59">
        <f t="shared" si="28"/>
        <v>0</v>
      </c>
      <c r="AK37" s="59">
        <f t="shared" si="28"/>
        <v>0</v>
      </c>
      <c r="AL37" s="59">
        <f t="shared" si="28"/>
        <v>0</v>
      </c>
      <c r="AM37" s="59">
        <f t="shared" si="28"/>
        <v>0</v>
      </c>
      <c r="AN37" s="59">
        <f t="shared" si="28"/>
        <v>0</v>
      </c>
      <c r="AO37" s="59">
        <f t="shared" si="28"/>
        <v>0</v>
      </c>
      <c r="AP37" s="59">
        <f t="shared" si="28"/>
        <v>0</v>
      </c>
      <c r="AQ37" s="59">
        <f t="shared" si="28"/>
        <v>0</v>
      </c>
      <c r="AR37" s="59">
        <f t="shared" si="28"/>
        <v>0</v>
      </c>
      <c r="AS37" s="59">
        <f t="shared" si="28"/>
        <v>0</v>
      </c>
      <c r="AT37" s="59">
        <f t="shared" si="28"/>
        <v>0</v>
      </c>
      <c r="AU37" s="59">
        <f t="shared" si="28"/>
        <v>0</v>
      </c>
      <c r="AV37" s="59">
        <f t="shared" si="28"/>
        <v>0</v>
      </c>
      <c r="AW37" s="59">
        <f t="shared" si="28"/>
        <v>0</v>
      </c>
      <c r="AX37" s="59">
        <f t="shared" si="28"/>
        <v>0</v>
      </c>
      <c r="AY37" s="59">
        <f t="shared" si="28"/>
        <v>0</v>
      </c>
      <c r="AZ37" s="59">
        <f t="shared" si="28"/>
        <v>0</v>
      </c>
      <c r="BA37" s="59">
        <f t="shared" si="28"/>
        <v>0</v>
      </c>
      <c r="BB37" s="59">
        <f t="shared" si="28"/>
        <v>0</v>
      </c>
      <c r="BC37" s="59">
        <f t="shared" si="28"/>
        <v>0</v>
      </c>
      <c r="BD37" s="59">
        <f t="shared" si="28"/>
        <v>0</v>
      </c>
      <c r="BE37" s="59">
        <f t="shared" si="28"/>
        <v>0</v>
      </c>
      <c r="BF37" s="59">
        <f t="shared" si="28"/>
        <v>0</v>
      </c>
      <c r="BG37" s="59">
        <f t="shared" si="28"/>
        <v>0</v>
      </c>
      <c r="BH37" s="59">
        <f t="shared" si="28"/>
        <v>1</v>
      </c>
      <c r="BI37" s="59">
        <f t="shared" si="28"/>
        <v>0</v>
      </c>
      <c r="BJ37" s="59">
        <f t="shared" si="28"/>
        <v>0</v>
      </c>
      <c r="BK37" s="59">
        <f t="shared" si="28"/>
        <v>0</v>
      </c>
      <c r="BM37" s="59">
        <v>60</v>
      </c>
      <c r="BN37" s="59">
        <v>1</v>
      </c>
    </row>
    <row r="38" spans="2:66">
      <c r="B38" s="59" t="s">
        <v>215</v>
      </c>
      <c r="C38" s="59">
        <f>28-C37-C36-C35-C34-C33</f>
        <v>2</v>
      </c>
      <c r="D38" s="59">
        <f t="shared" ref="D38:BK38" si="29">28-D37-D36-D35-D34-D33</f>
        <v>2</v>
      </c>
      <c r="E38" s="59">
        <f t="shared" si="29"/>
        <v>2</v>
      </c>
      <c r="F38" s="59">
        <f t="shared" si="29"/>
        <v>2</v>
      </c>
      <c r="G38" s="59">
        <f t="shared" si="29"/>
        <v>2</v>
      </c>
      <c r="H38" s="59">
        <f t="shared" si="29"/>
        <v>2</v>
      </c>
      <c r="I38" s="59">
        <f t="shared" si="29"/>
        <v>2</v>
      </c>
      <c r="J38" s="59">
        <f t="shared" si="29"/>
        <v>2</v>
      </c>
      <c r="K38" s="59">
        <f t="shared" si="29"/>
        <v>2</v>
      </c>
      <c r="L38" s="59">
        <f t="shared" si="29"/>
        <v>2</v>
      </c>
      <c r="M38" s="59">
        <f t="shared" si="29"/>
        <v>2</v>
      </c>
      <c r="N38" s="59">
        <f t="shared" si="29"/>
        <v>2</v>
      </c>
      <c r="O38" s="59">
        <f t="shared" si="29"/>
        <v>2</v>
      </c>
      <c r="P38" s="59">
        <f t="shared" si="29"/>
        <v>2</v>
      </c>
      <c r="Q38" s="59">
        <f t="shared" si="29"/>
        <v>2</v>
      </c>
      <c r="S38" s="59">
        <f t="shared" si="29"/>
        <v>2</v>
      </c>
      <c r="T38" s="59">
        <f t="shared" si="29"/>
        <v>2</v>
      </c>
      <c r="U38" s="59">
        <f t="shared" si="29"/>
        <v>2</v>
      </c>
      <c r="V38" s="59">
        <f t="shared" si="29"/>
        <v>2</v>
      </c>
      <c r="W38" s="59">
        <f t="shared" si="29"/>
        <v>2</v>
      </c>
      <c r="X38" s="59">
        <f t="shared" si="29"/>
        <v>2</v>
      </c>
      <c r="Y38" s="59">
        <f t="shared" si="29"/>
        <v>3</v>
      </c>
      <c r="Z38" s="59">
        <f t="shared" si="29"/>
        <v>2</v>
      </c>
      <c r="AA38" s="59">
        <f t="shared" si="29"/>
        <v>28</v>
      </c>
      <c r="AB38" s="59">
        <f t="shared" si="29"/>
        <v>28</v>
      </c>
      <c r="AC38" s="59">
        <f t="shared" si="29"/>
        <v>28</v>
      </c>
      <c r="AD38" s="59">
        <f t="shared" si="29"/>
        <v>2</v>
      </c>
      <c r="AE38" s="59">
        <f t="shared" si="29"/>
        <v>2</v>
      </c>
      <c r="AF38" s="59">
        <f t="shared" si="29"/>
        <v>2</v>
      </c>
      <c r="AG38" s="59">
        <f t="shared" si="29"/>
        <v>2</v>
      </c>
      <c r="AH38" s="59">
        <f t="shared" si="29"/>
        <v>2</v>
      </c>
      <c r="AI38" s="59">
        <f t="shared" si="29"/>
        <v>2</v>
      </c>
      <c r="AJ38" s="59">
        <f t="shared" si="29"/>
        <v>2</v>
      </c>
      <c r="AK38" s="59">
        <f t="shared" si="29"/>
        <v>28</v>
      </c>
      <c r="AL38" s="59">
        <f t="shared" si="29"/>
        <v>28</v>
      </c>
      <c r="AM38" s="59">
        <f t="shared" si="29"/>
        <v>28</v>
      </c>
      <c r="AN38" s="59">
        <f t="shared" si="29"/>
        <v>2</v>
      </c>
      <c r="AO38" s="59">
        <f t="shared" si="29"/>
        <v>2</v>
      </c>
      <c r="AP38" s="59">
        <f t="shared" si="29"/>
        <v>2</v>
      </c>
      <c r="AQ38" s="59">
        <f t="shared" si="29"/>
        <v>2</v>
      </c>
      <c r="AR38" s="59">
        <f t="shared" si="29"/>
        <v>2</v>
      </c>
      <c r="AS38" s="59">
        <f t="shared" si="29"/>
        <v>2</v>
      </c>
      <c r="AT38" s="59">
        <f t="shared" si="29"/>
        <v>2</v>
      </c>
      <c r="AU38" s="59">
        <f t="shared" si="29"/>
        <v>2</v>
      </c>
      <c r="AV38" s="59">
        <f t="shared" ref="AV38:BD38" si="30">28-AV37-AV36-AV35-AV34-AV33</f>
        <v>2</v>
      </c>
      <c r="AW38" s="59">
        <f t="shared" si="30"/>
        <v>2</v>
      </c>
      <c r="AX38" s="59">
        <f t="shared" si="30"/>
        <v>2</v>
      </c>
      <c r="AY38" s="59">
        <f t="shared" si="30"/>
        <v>2</v>
      </c>
      <c r="AZ38" s="59">
        <f t="shared" si="30"/>
        <v>2</v>
      </c>
      <c r="BA38" s="59">
        <f t="shared" si="30"/>
        <v>2</v>
      </c>
      <c r="BB38" s="59">
        <f t="shared" si="30"/>
        <v>2</v>
      </c>
      <c r="BC38" s="59">
        <f t="shared" si="30"/>
        <v>3</v>
      </c>
      <c r="BD38" s="59">
        <f t="shared" si="30"/>
        <v>2</v>
      </c>
      <c r="BE38" s="59">
        <f t="shared" si="29"/>
        <v>28</v>
      </c>
      <c r="BF38" s="59">
        <f t="shared" si="29"/>
        <v>2</v>
      </c>
      <c r="BG38" s="59">
        <f t="shared" si="29"/>
        <v>28</v>
      </c>
      <c r="BH38" s="59">
        <f t="shared" si="29"/>
        <v>2</v>
      </c>
      <c r="BI38" s="59">
        <f t="shared" si="29"/>
        <v>28</v>
      </c>
      <c r="BJ38" s="59">
        <f t="shared" si="29"/>
        <v>2</v>
      </c>
      <c r="BK38" s="59">
        <f t="shared" si="29"/>
        <v>28</v>
      </c>
      <c r="BM38" s="59" t="s">
        <v>372</v>
      </c>
      <c r="BN38" s="59">
        <v>0</v>
      </c>
    </row>
    <row r="39" spans="2:66" ht="14.25">
      <c r="B39" s="62" t="s">
        <v>216</v>
      </c>
      <c r="C39" s="59">
        <f>SUM(C33:C38)</f>
        <v>28</v>
      </c>
      <c r="D39" s="59">
        <f t="shared" ref="D39:BK39" si="31">SUM(D33:D38)</f>
        <v>28</v>
      </c>
      <c r="E39" s="59">
        <f t="shared" si="31"/>
        <v>28</v>
      </c>
      <c r="F39" s="59">
        <f t="shared" si="31"/>
        <v>28</v>
      </c>
      <c r="G39" s="59">
        <f t="shared" si="31"/>
        <v>28</v>
      </c>
      <c r="H39" s="59">
        <f t="shared" si="31"/>
        <v>28</v>
      </c>
      <c r="I39" s="59">
        <f t="shared" si="31"/>
        <v>28</v>
      </c>
      <c r="J39" s="59">
        <f t="shared" si="31"/>
        <v>28</v>
      </c>
      <c r="K39" s="59">
        <f t="shared" si="31"/>
        <v>28</v>
      </c>
      <c r="L39" s="59">
        <f t="shared" si="31"/>
        <v>28</v>
      </c>
      <c r="M39" s="59">
        <f t="shared" si="31"/>
        <v>28</v>
      </c>
      <c r="N39" s="59">
        <f t="shared" si="31"/>
        <v>28</v>
      </c>
      <c r="O39" s="59">
        <f t="shared" si="31"/>
        <v>28</v>
      </c>
      <c r="P39" s="59">
        <f t="shared" si="31"/>
        <v>28</v>
      </c>
      <c r="Q39" s="59">
        <f t="shared" si="31"/>
        <v>28</v>
      </c>
      <c r="S39" s="59">
        <f t="shared" si="31"/>
        <v>28</v>
      </c>
      <c r="T39" s="59">
        <f t="shared" si="31"/>
        <v>28</v>
      </c>
      <c r="U39" s="59">
        <f t="shared" si="31"/>
        <v>28</v>
      </c>
      <c r="V39" s="59">
        <f t="shared" si="31"/>
        <v>28</v>
      </c>
      <c r="W39" s="59">
        <f t="shared" si="31"/>
        <v>28</v>
      </c>
      <c r="X39" s="59">
        <f t="shared" si="31"/>
        <v>28</v>
      </c>
      <c r="Y39" s="59">
        <f t="shared" si="31"/>
        <v>28</v>
      </c>
      <c r="Z39" s="59">
        <f t="shared" si="31"/>
        <v>28</v>
      </c>
      <c r="AA39" s="59">
        <f t="shared" si="31"/>
        <v>28</v>
      </c>
      <c r="AB39" s="59">
        <f t="shared" si="31"/>
        <v>28</v>
      </c>
      <c r="AC39" s="59">
        <f t="shared" si="31"/>
        <v>28</v>
      </c>
      <c r="AD39" s="59">
        <f t="shared" si="31"/>
        <v>28</v>
      </c>
      <c r="AE39" s="59">
        <f t="shared" si="31"/>
        <v>28</v>
      </c>
      <c r="AF39" s="59">
        <f t="shared" si="31"/>
        <v>28</v>
      </c>
      <c r="AG39" s="59">
        <f t="shared" si="31"/>
        <v>28</v>
      </c>
      <c r="AH39" s="59">
        <f t="shared" si="31"/>
        <v>28</v>
      </c>
      <c r="AI39" s="59">
        <f t="shared" si="31"/>
        <v>28</v>
      </c>
      <c r="AJ39" s="59">
        <f t="shared" si="31"/>
        <v>28</v>
      </c>
      <c r="AK39" s="59">
        <f t="shared" si="31"/>
        <v>28</v>
      </c>
      <c r="AL39" s="59">
        <f t="shared" si="31"/>
        <v>28</v>
      </c>
      <c r="AM39" s="59">
        <f t="shared" si="31"/>
        <v>28</v>
      </c>
      <c r="AN39" s="59">
        <f t="shared" si="31"/>
        <v>28</v>
      </c>
      <c r="AO39" s="59">
        <f t="shared" si="31"/>
        <v>28</v>
      </c>
      <c r="AP39" s="59">
        <f t="shared" si="31"/>
        <v>28</v>
      </c>
      <c r="AQ39" s="59">
        <f t="shared" si="31"/>
        <v>28</v>
      </c>
      <c r="AR39" s="59">
        <f t="shared" si="31"/>
        <v>28</v>
      </c>
      <c r="AS39" s="59">
        <f t="shared" si="31"/>
        <v>28</v>
      </c>
      <c r="AT39" s="59">
        <f t="shared" si="31"/>
        <v>28</v>
      </c>
      <c r="AU39" s="59">
        <f t="shared" si="31"/>
        <v>28</v>
      </c>
      <c r="AV39" s="59">
        <f t="shared" ref="AV39:BD39" si="32">SUM(AV33:AV38)</f>
        <v>28</v>
      </c>
      <c r="AW39" s="59">
        <f t="shared" si="32"/>
        <v>28</v>
      </c>
      <c r="AX39" s="59">
        <f t="shared" si="32"/>
        <v>28</v>
      </c>
      <c r="AY39" s="59">
        <f t="shared" si="32"/>
        <v>28</v>
      </c>
      <c r="AZ39" s="59">
        <f t="shared" si="32"/>
        <v>28</v>
      </c>
      <c r="BA39" s="59">
        <f t="shared" si="32"/>
        <v>28</v>
      </c>
      <c r="BB39" s="59">
        <f t="shared" si="32"/>
        <v>28</v>
      </c>
      <c r="BC39" s="59">
        <f t="shared" si="32"/>
        <v>28</v>
      </c>
      <c r="BD39" s="59">
        <f t="shared" si="32"/>
        <v>28</v>
      </c>
      <c r="BE39" s="59">
        <f t="shared" si="31"/>
        <v>28</v>
      </c>
      <c r="BF39" s="59">
        <f t="shared" si="31"/>
        <v>28</v>
      </c>
      <c r="BG39" s="59">
        <f t="shared" si="31"/>
        <v>28</v>
      </c>
      <c r="BH39" s="59">
        <f t="shared" si="31"/>
        <v>28</v>
      </c>
      <c r="BI39" s="59">
        <f t="shared" si="31"/>
        <v>28</v>
      </c>
      <c r="BJ39" s="59">
        <f t="shared" si="31"/>
        <v>28</v>
      </c>
      <c r="BK39" s="59">
        <f t="shared" si="31"/>
        <v>28</v>
      </c>
      <c r="BM39" s="59" t="s">
        <v>373</v>
      </c>
      <c r="BN39" s="59">
        <v>29</v>
      </c>
    </row>
    <row r="42" spans="2:66" ht="16.5">
      <c r="J42" s="77"/>
      <c r="S42" s="77"/>
    </row>
  </sheetData>
  <mergeCells count="11">
    <mergeCell ref="A1:BK1"/>
    <mergeCell ref="AO2:AV2"/>
    <mergeCell ref="AW2:BD2"/>
    <mergeCell ref="A2:B2"/>
    <mergeCell ref="K2:S2"/>
    <mergeCell ref="C2:J2"/>
    <mergeCell ref="T2:AD2"/>
    <mergeCell ref="AE2:AN2"/>
    <mergeCell ref="BE2:BF2"/>
    <mergeCell ref="BG2:BH2"/>
    <mergeCell ref="BI2:BK2"/>
  </mergeCells>
  <phoneticPr fontId="2" type="noConversion"/>
  <pageMargins left="0.19685039370078741" right="0.19685039370078741" top="0.59055118110236227" bottom="0.39370078740157483" header="0" footer="0"/>
  <pageSetup paperSize="9" firstPageNumber="0"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8" sqref="F28"/>
    </sheetView>
  </sheetViews>
  <sheetFormatPr defaultRowHeight="12.75"/>
  <cols>
    <col min="1" max="1" width="2.875" style="59" customWidth="1"/>
    <col min="2" max="2" width="7" style="59" customWidth="1"/>
    <col min="3" max="55" width="3.375" style="59" customWidth="1"/>
    <col min="56" max="61" width="4.625" style="59" customWidth="1"/>
    <col min="62" max="62" width="6.625" style="59" customWidth="1"/>
    <col min="63" max="16384" width="9" style="59"/>
  </cols>
  <sheetData>
    <row r="1" spans="1:63" ht="15" thickTop="1">
      <c r="A1" s="494" t="s">
        <v>204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9"/>
      <c r="BE1" s="239"/>
      <c r="BF1" s="239"/>
      <c r="BG1" s="239"/>
      <c r="BH1" s="239"/>
      <c r="BI1" s="239"/>
      <c r="BJ1" s="240"/>
    </row>
    <row r="2" spans="1:63" ht="14.25">
      <c r="A2" s="496">
        <v>307</v>
      </c>
      <c r="B2" s="497"/>
      <c r="C2" s="498" t="s">
        <v>302</v>
      </c>
      <c r="D2" s="498"/>
      <c r="E2" s="498"/>
      <c r="F2" s="498"/>
      <c r="G2" s="498"/>
      <c r="H2" s="498"/>
      <c r="I2" s="498"/>
      <c r="J2" s="498"/>
      <c r="K2" s="498" t="s">
        <v>232</v>
      </c>
      <c r="L2" s="498"/>
      <c r="M2" s="498"/>
      <c r="N2" s="498"/>
      <c r="O2" s="498"/>
      <c r="P2" s="498"/>
      <c r="Q2" s="498"/>
      <c r="R2" s="498"/>
      <c r="S2" s="492" t="s">
        <v>233</v>
      </c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 t="s">
        <v>234</v>
      </c>
      <c r="AE2" s="492"/>
      <c r="AF2" s="492"/>
      <c r="AG2" s="492"/>
      <c r="AH2" s="492"/>
      <c r="AI2" s="492"/>
      <c r="AJ2" s="492"/>
      <c r="AK2" s="492"/>
      <c r="AL2" s="492"/>
      <c r="AM2" s="492"/>
      <c r="AN2" s="492" t="s">
        <v>235</v>
      </c>
      <c r="AO2" s="492"/>
      <c r="AP2" s="492"/>
      <c r="AQ2" s="492"/>
      <c r="AR2" s="492"/>
      <c r="AS2" s="492"/>
      <c r="AT2" s="492"/>
      <c r="AU2" s="241"/>
      <c r="AV2" s="492" t="s">
        <v>469</v>
      </c>
      <c r="AW2" s="492"/>
      <c r="AX2" s="492"/>
      <c r="AY2" s="492"/>
      <c r="AZ2" s="492"/>
      <c r="BA2" s="492"/>
      <c r="BB2" s="492"/>
      <c r="BC2" s="241"/>
      <c r="BD2" s="492" t="s">
        <v>207</v>
      </c>
      <c r="BE2" s="492"/>
      <c r="BF2" s="492" t="s">
        <v>208</v>
      </c>
      <c r="BG2" s="492"/>
      <c r="BH2" s="492" t="s">
        <v>209</v>
      </c>
      <c r="BI2" s="492"/>
      <c r="BJ2" s="493"/>
    </row>
    <row r="3" spans="1:63" ht="14.25">
      <c r="A3" s="242" t="s">
        <v>210</v>
      </c>
      <c r="B3" s="243" t="s">
        <v>0</v>
      </c>
      <c r="C3" s="244">
        <v>1</v>
      </c>
      <c r="D3" s="245">
        <v>2</v>
      </c>
      <c r="E3" s="244">
        <v>3</v>
      </c>
      <c r="F3" s="245">
        <v>4</v>
      </c>
      <c r="G3" s="244">
        <v>5</v>
      </c>
      <c r="H3" s="245">
        <v>6</v>
      </c>
      <c r="I3" s="244">
        <v>7</v>
      </c>
      <c r="J3" s="241" t="s">
        <v>534</v>
      </c>
      <c r="K3" s="244">
        <v>1</v>
      </c>
      <c r="L3" s="245">
        <v>2</v>
      </c>
      <c r="M3" s="244">
        <v>3</v>
      </c>
      <c r="N3" s="245">
        <v>4</v>
      </c>
      <c r="O3" s="244">
        <v>5</v>
      </c>
      <c r="P3" s="245">
        <v>6</v>
      </c>
      <c r="Q3" s="244">
        <v>7</v>
      </c>
      <c r="R3" s="241" t="s">
        <v>534</v>
      </c>
      <c r="S3" s="245">
        <v>1</v>
      </c>
      <c r="T3" s="245">
        <v>2</v>
      </c>
      <c r="U3" s="245">
        <v>3</v>
      </c>
      <c r="V3" s="245">
        <v>4</v>
      </c>
      <c r="W3" s="245">
        <v>5</v>
      </c>
      <c r="X3" s="245">
        <v>6</v>
      </c>
      <c r="Y3" s="245">
        <v>7</v>
      </c>
      <c r="Z3" s="245">
        <v>8</v>
      </c>
      <c r="AA3" s="245">
        <v>9</v>
      </c>
      <c r="AB3" s="245">
        <v>10</v>
      </c>
      <c r="AC3" s="241" t="s">
        <v>534</v>
      </c>
      <c r="AD3" s="245">
        <v>1</v>
      </c>
      <c r="AE3" s="245">
        <v>2</v>
      </c>
      <c r="AF3" s="245">
        <v>3</v>
      </c>
      <c r="AG3" s="245">
        <v>4</v>
      </c>
      <c r="AH3" s="245">
        <v>5</v>
      </c>
      <c r="AI3" s="245">
        <v>6</v>
      </c>
      <c r="AJ3" s="245">
        <v>7</v>
      </c>
      <c r="AK3" s="245">
        <v>8</v>
      </c>
      <c r="AL3" s="245">
        <v>9</v>
      </c>
      <c r="AM3" s="241" t="s">
        <v>534</v>
      </c>
      <c r="AN3" s="245">
        <v>1</v>
      </c>
      <c r="AO3" s="245">
        <v>2</v>
      </c>
      <c r="AP3" s="245">
        <v>3</v>
      </c>
      <c r="AQ3" s="245">
        <v>4</v>
      </c>
      <c r="AR3" s="245">
        <v>5</v>
      </c>
      <c r="AS3" s="245">
        <v>6</v>
      </c>
      <c r="AT3" s="245">
        <v>7</v>
      </c>
      <c r="AU3" s="241" t="s">
        <v>534</v>
      </c>
      <c r="AV3" s="245">
        <v>1</v>
      </c>
      <c r="AW3" s="245">
        <v>2</v>
      </c>
      <c r="AX3" s="245">
        <v>3</v>
      </c>
      <c r="AY3" s="245">
        <v>4</v>
      </c>
      <c r="AZ3" s="245">
        <v>5</v>
      </c>
      <c r="BA3" s="245">
        <v>6</v>
      </c>
      <c r="BB3" s="245">
        <v>7</v>
      </c>
      <c r="BC3" s="241" t="s">
        <v>534</v>
      </c>
      <c r="BD3" s="241" t="s">
        <v>211</v>
      </c>
      <c r="BE3" s="241" t="s">
        <v>212</v>
      </c>
      <c r="BF3" s="241" t="s">
        <v>211</v>
      </c>
      <c r="BG3" s="241" t="s">
        <v>212</v>
      </c>
      <c r="BH3" s="241" t="s">
        <v>211</v>
      </c>
      <c r="BI3" s="241" t="s">
        <v>212</v>
      </c>
      <c r="BJ3" s="246" t="s">
        <v>213</v>
      </c>
      <c r="BK3" s="62" t="s">
        <v>411</v>
      </c>
    </row>
    <row r="4" spans="1:63" ht="18.75" customHeight="1">
      <c r="A4" s="147">
        <v>1</v>
      </c>
      <c r="B4" s="135" t="str">
        <f>VLOOKUP(A4,緊急聯絡!A$2:C$27,3,0)</f>
        <v>陳威劭</v>
      </c>
      <c r="C4" s="245"/>
      <c r="D4" s="245"/>
      <c r="E4" s="245"/>
      <c r="F4" s="245"/>
      <c r="G4" s="245"/>
      <c r="H4" s="245"/>
      <c r="I4" s="245"/>
      <c r="J4" s="245" t="e">
        <f>AVERAGE(C4:I4)</f>
        <v>#DIV/0!</v>
      </c>
      <c r="K4" s="245"/>
      <c r="L4" s="245"/>
      <c r="M4" s="245"/>
      <c r="N4" s="245"/>
      <c r="O4" s="245"/>
      <c r="P4" s="245"/>
      <c r="Q4" s="245"/>
      <c r="R4" s="245" t="e">
        <f>AVERAGE(K4:Q4)</f>
        <v>#DIV/0!</v>
      </c>
      <c r="S4" s="243">
        <v>87</v>
      </c>
      <c r="T4" s="245">
        <v>95</v>
      </c>
      <c r="U4" s="245">
        <v>95</v>
      </c>
      <c r="V4" s="245">
        <v>94</v>
      </c>
      <c r="W4" s="245">
        <v>90</v>
      </c>
      <c r="X4" s="245">
        <v>94</v>
      </c>
      <c r="Y4" s="245">
        <v>88</v>
      </c>
      <c r="Z4" s="245"/>
      <c r="AA4" s="245"/>
      <c r="AB4" s="245"/>
      <c r="AC4" s="245">
        <f>AVERAGE(S4:AB4)</f>
        <v>91.857142857142861</v>
      </c>
      <c r="AD4" s="245"/>
      <c r="AE4" s="245"/>
      <c r="AF4" s="245"/>
      <c r="AG4" s="245"/>
      <c r="AH4" s="245"/>
      <c r="AI4" s="245"/>
      <c r="AJ4" s="245"/>
      <c r="AK4" s="245"/>
      <c r="AL4" s="245"/>
      <c r="AM4" s="245" t="e">
        <f>AVERAGE(AD4:AL4)</f>
        <v>#DIV/0!</v>
      </c>
      <c r="AN4" s="245"/>
      <c r="AO4" s="245"/>
      <c r="AP4" s="245"/>
      <c r="AQ4" s="245"/>
      <c r="AR4" s="245"/>
      <c r="AS4" s="245"/>
      <c r="AT4" s="245"/>
      <c r="AU4" s="245" t="e">
        <f>AVERAGE(AN4:AT4)</f>
        <v>#DIV/0!</v>
      </c>
      <c r="AV4" s="245"/>
      <c r="AW4" s="245"/>
      <c r="AX4" s="245"/>
      <c r="AY4" s="245"/>
      <c r="AZ4" s="245"/>
      <c r="BA4" s="245"/>
      <c r="BB4" s="245"/>
      <c r="BC4" s="245" t="e">
        <f>AVERAGE(AV4:BB4)</f>
        <v>#DIV/0!</v>
      </c>
      <c r="BD4" s="245" t="e">
        <f>AVERAGE(J4,R4,AC4,AM4,AV4,BA4)</f>
        <v>#DIV/0!</v>
      </c>
      <c r="BE4" s="245"/>
      <c r="BF4" s="235">
        <v>89</v>
      </c>
      <c r="BG4" s="245"/>
      <c r="BH4" s="245" t="e">
        <f>AVERAGE(BD4,BF4)</f>
        <v>#DIV/0!</v>
      </c>
      <c r="BI4" s="245" t="e">
        <f>AVERAGE(BE4,BG4)</f>
        <v>#DIV/0!</v>
      </c>
      <c r="BJ4" s="247" t="e">
        <f>AVERAGE(BH4:BI4)</f>
        <v>#DIV/0!</v>
      </c>
      <c r="BK4" s="59">
        <v>80</v>
      </c>
    </row>
    <row r="5" spans="1:63" ht="18.75" customHeight="1">
      <c r="A5" s="147">
        <v>2</v>
      </c>
      <c r="B5" s="135" t="str">
        <f>VLOOKUP(A5,緊急聯絡!A$2:C$27,3,0)</f>
        <v>周宗慶</v>
      </c>
      <c r="C5" s="245"/>
      <c r="D5" s="245"/>
      <c r="E5" s="245"/>
      <c r="F5" s="245"/>
      <c r="G5" s="245"/>
      <c r="H5" s="245"/>
      <c r="I5" s="245"/>
      <c r="J5" s="245" t="e">
        <f t="shared" ref="J5:J29" si="0">AVERAGE(C5:I5)</f>
        <v>#DIV/0!</v>
      </c>
      <c r="K5" s="245"/>
      <c r="L5" s="245"/>
      <c r="M5" s="245"/>
      <c r="N5" s="245"/>
      <c r="O5" s="245"/>
      <c r="P5" s="245"/>
      <c r="Q5" s="245"/>
      <c r="R5" s="245" t="e">
        <f t="shared" ref="R5:R29" si="1">AVERAGE(K5:Q5)</f>
        <v>#DIV/0!</v>
      </c>
      <c r="S5" s="243">
        <v>98</v>
      </c>
      <c r="T5" s="245">
        <v>94</v>
      </c>
      <c r="U5" s="245">
        <v>91</v>
      </c>
      <c r="V5" s="245">
        <v>87</v>
      </c>
      <c r="W5" s="245">
        <v>95</v>
      </c>
      <c r="X5" s="245">
        <v>98</v>
      </c>
      <c r="Y5" s="245">
        <v>97</v>
      </c>
      <c r="Z5" s="245"/>
      <c r="AA5" s="245"/>
      <c r="AB5" s="245"/>
      <c r="AC5" s="245">
        <f t="shared" ref="AC5:AC29" si="2">AVERAGE(S5:AB5)</f>
        <v>94.285714285714292</v>
      </c>
      <c r="AD5" s="245"/>
      <c r="AE5" s="245"/>
      <c r="AF5" s="245"/>
      <c r="AG5" s="245"/>
      <c r="AH5" s="245"/>
      <c r="AI5" s="245"/>
      <c r="AJ5" s="245"/>
      <c r="AK5" s="245"/>
      <c r="AL5" s="245"/>
      <c r="AM5" s="245" t="e">
        <f t="shared" ref="AM5:AM29" si="3">AVERAGE(AD5:AL5)</f>
        <v>#DIV/0!</v>
      </c>
      <c r="AN5" s="245"/>
      <c r="AO5" s="245"/>
      <c r="AP5" s="245"/>
      <c r="AQ5" s="245"/>
      <c r="AR5" s="245"/>
      <c r="AS5" s="245"/>
      <c r="AT5" s="245"/>
      <c r="AU5" s="245" t="e">
        <f t="shared" ref="AU5:AU29" si="4">AVERAGE(AN5:AT5)</f>
        <v>#DIV/0!</v>
      </c>
      <c r="AV5" s="245"/>
      <c r="AW5" s="245"/>
      <c r="AX5" s="245"/>
      <c r="AY5" s="245"/>
      <c r="AZ5" s="245"/>
      <c r="BA5" s="245"/>
      <c r="BB5" s="245"/>
      <c r="BC5" s="245" t="e">
        <f t="shared" ref="BC5:BC29" si="5">AVERAGE(AV5:BB5)</f>
        <v>#DIV/0!</v>
      </c>
      <c r="BD5" s="245" t="e">
        <f t="shared" ref="BD5:BD29" si="6">AVERAGE(J5,R5,AC5,AM5,AV5,BA5)</f>
        <v>#DIV/0!</v>
      </c>
      <c r="BE5" s="245"/>
      <c r="BF5" s="235">
        <v>98</v>
      </c>
      <c r="BG5" s="245"/>
      <c r="BH5" s="245" t="e">
        <f t="shared" ref="BH5:BI26" si="7">AVERAGE(BD5,BF5)</f>
        <v>#DIV/0!</v>
      </c>
      <c r="BI5" s="245" t="e">
        <f t="shared" si="7"/>
        <v>#DIV/0!</v>
      </c>
      <c r="BJ5" s="247" t="e">
        <f t="shared" ref="BJ5:BJ29" si="8">AVERAGE(BH5:BI5)</f>
        <v>#DIV/0!</v>
      </c>
      <c r="BK5" s="59">
        <v>96</v>
      </c>
    </row>
    <row r="6" spans="1:63" ht="18.75" customHeight="1">
      <c r="A6" s="147">
        <v>3</v>
      </c>
      <c r="B6" s="135" t="str">
        <f>VLOOKUP(A6,緊急聯絡!A$2:C$27,3,0)</f>
        <v>林昱任</v>
      </c>
      <c r="C6" s="245"/>
      <c r="D6" s="245"/>
      <c r="E6" s="245"/>
      <c r="F6" s="245"/>
      <c r="G6" s="245"/>
      <c r="H6" s="245"/>
      <c r="I6" s="245"/>
      <c r="J6" s="245" t="e">
        <f t="shared" si="0"/>
        <v>#DIV/0!</v>
      </c>
      <c r="K6" s="245"/>
      <c r="L6" s="245"/>
      <c r="M6" s="245"/>
      <c r="N6" s="245"/>
      <c r="O6" s="245"/>
      <c r="P6" s="245"/>
      <c r="Q6" s="245"/>
      <c r="R6" s="245" t="e">
        <f t="shared" si="1"/>
        <v>#DIV/0!</v>
      </c>
      <c r="S6" s="243">
        <v>97</v>
      </c>
      <c r="T6" s="245">
        <v>96</v>
      </c>
      <c r="U6" s="245">
        <v>96</v>
      </c>
      <c r="V6" s="245">
        <v>100</v>
      </c>
      <c r="W6" s="245">
        <v>96</v>
      </c>
      <c r="X6" s="245">
        <v>98</v>
      </c>
      <c r="Y6" s="245">
        <v>98</v>
      </c>
      <c r="Z6" s="245"/>
      <c r="AA6" s="245"/>
      <c r="AB6" s="245"/>
      <c r="AC6" s="245">
        <f t="shared" si="2"/>
        <v>97.285714285714292</v>
      </c>
      <c r="AD6" s="245"/>
      <c r="AE6" s="245"/>
      <c r="AF6" s="245"/>
      <c r="AG6" s="245"/>
      <c r="AH6" s="245"/>
      <c r="AI6" s="245"/>
      <c r="AJ6" s="245"/>
      <c r="AK6" s="245"/>
      <c r="AL6" s="245"/>
      <c r="AM6" s="245" t="e">
        <f t="shared" si="3"/>
        <v>#DIV/0!</v>
      </c>
      <c r="AN6" s="245"/>
      <c r="AO6" s="245"/>
      <c r="AP6" s="245"/>
      <c r="AQ6" s="245"/>
      <c r="AR6" s="245"/>
      <c r="AS6" s="245"/>
      <c r="AT6" s="245"/>
      <c r="AU6" s="245" t="e">
        <f t="shared" si="4"/>
        <v>#DIV/0!</v>
      </c>
      <c r="AV6" s="245"/>
      <c r="AW6" s="245"/>
      <c r="AX6" s="245"/>
      <c r="AY6" s="245"/>
      <c r="AZ6" s="245"/>
      <c r="BA6" s="245"/>
      <c r="BB6" s="245"/>
      <c r="BC6" s="245" t="e">
        <f t="shared" si="5"/>
        <v>#DIV/0!</v>
      </c>
      <c r="BD6" s="245" t="e">
        <f t="shared" si="6"/>
        <v>#DIV/0!</v>
      </c>
      <c r="BE6" s="245"/>
      <c r="BF6" s="235">
        <v>77</v>
      </c>
      <c r="BG6" s="245"/>
      <c r="BH6" s="245" t="e">
        <f t="shared" si="7"/>
        <v>#DIV/0!</v>
      </c>
      <c r="BI6" s="245" t="e">
        <f t="shared" si="7"/>
        <v>#DIV/0!</v>
      </c>
      <c r="BJ6" s="247" t="e">
        <f t="shared" si="8"/>
        <v>#DIV/0!</v>
      </c>
      <c r="BK6" s="59">
        <v>88</v>
      </c>
    </row>
    <row r="7" spans="1:63" ht="18.75" customHeight="1">
      <c r="A7" s="147">
        <v>4</v>
      </c>
      <c r="B7" s="135" t="str">
        <f>VLOOKUP(A7,緊急聯絡!A$2:C$27,3,0)</f>
        <v>李奎煜</v>
      </c>
      <c r="C7" s="245"/>
      <c r="D7" s="245"/>
      <c r="E7" s="245"/>
      <c r="F7" s="245"/>
      <c r="G7" s="245"/>
      <c r="H7" s="245"/>
      <c r="I7" s="245"/>
      <c r="J7" s="245" t="e">
        <f t="shared" si="0"/>
        <v>#DIV/0!</v>
      </c>
      <c r="K7" s="245"/>
      <c r="L7" s="245"/>
      <c r="M7" s="245"/>
      <c r="N7" s="245"/>
      <c r="O7" s="245"/>
      <c r="P7" s="245"/>
      <c r="Q7" s="245"/>
      <c r="R7" s="245" t="e">
        <f t="shared" si="1"/>
        <v>#DIV/0!</v>
      </c>
      <c r="S7" s="243">
        <v>32</v>
      </c>
      <c r="T7" s="245">
        <v>9</v>
      </c>
      <c r="U7" s="245">
        <v>6</v>
      </c>
      <c r="V7" s="245">
        <v>7</v>
      </c>
      <c r="W7" s="245">
        <v>24</v>
      </c>
      <c r="X7" s="245">
        <v>17</v>
      </c>
      <c r="Y7" s="245">
        <v>29</v>
      </c>
      <c r="Z7" s="245"/>
      <c r="AA7" s="245"/>
      <c r="AB7" s="245"/>
      <c r="AC7" s="245">
        <f t="shared" si="2"/>
        <v>17.714285714285715</v>
      </c>
      <c r="AD7" s="245"/>
      <c r="AE7" s="245"/>
      <c r="AF7" s="245"/>
      <c r="AG7" s="245"/>
      <c r="AH7" s="245"/>
      <c r="AI7" s="245"/>
      <c r="AJ7" s="245"/>
      <c r="AK7" s="245"/>
      <c r="AL7" s="245"/>
      <c r="AM7" s="245" t="e">
        <f t="shared" si="3"/>
        <v>#DIV/0!</v>
      </c>
      <c r="AN7" s="245"/>
      <c r="AO7" s="245"/>
      <c r="AP7" s="245"/>
      <c r="AQ7" s="245"/>
      <c r="AR7" s="245"/>
      <c r="AS7" s="245"/>
      <c r="AT7" s="245"/>
      <c r="AU7" s="245" t="e">
        <f t="shared" si="4"/>
        <v>#DIV/0!</v>
      </c>
      <c r="AV7" s="245"/>
      <c r="AW7" s="245"/>
      <c r="AX7" s="245"/>
      <c r="AY7" s="245"/>
      <c r="AZ7" s="245"/>
      <c r="BA7" s="245"/>
      <c r="BB7" s="245"/>
      <c r="BC7" s="245" t="e">
        <f t="shared" si="5"/>
        <v>#DIV/0!</v>
      </c>
      <c r="BD7" s="245" t="e">
        <f t="shared" si="6"/>
        <v>#DIV/0!</v>
      </c>
      <c r="BE7" s="245"/>
      <c r="BF7" s="235">
        <v>98</v>
      </c>
      <c r="BG7" s="245"/>
      <c r="BH7" s="245" t="e">
        <f t="shared" si="7"/>
        <v>#DIV/0!</v>
      </c>
      <c r="BI7" s="245" t="e">
        <f t="shared" si="7"/>
        <v>#DIV/0!</v>
      </c>
      <c r="BJ7" s="247" t="e">
        <f t="shared" si="8"/>
        <v>#DIV/0!</v>
      </c>
      <c r="BK7" s="59">
        <v>94</v>
      </c>
    </row>
    <row r="8" spans="1:63" ht="18.75" customHeight="1">
      <c r="A8" s="147">
        <v>5</v>
      </c>
      <c r="B8" s="135" t="str">
        <f>VLOOKUP(A8,緊急聯絡!A$2:C$27,3,0)</f>
        <v>葉翃均</v>
      </c>
      <c r="C8" s="245"/>
      <c r="D8" s="245"/>
      <c r="E8" s="245"/>
      <c r="F8" s="245"/>
      <c r="G8" s="245"/>
      <c r="H8" s="245"/>
      <c r="I8" s="245"/>
      <c r="J8" s="245" t="e">
        <f t="shared" si="0"/>
        <v>#DIV/0!</v>
      </c>
      <c r="K8" s="245"/>
      <c r="L8" s="245"/>
      <c r="M8" s="245"/>
      <c r="N8" s="245"/>
      <c r="O8" s="245"/>
      <c r="P8" s="245"/>
      <c r="Q8" s="245"/>
      <c r="R8" s="245" t="e">
        <f t="shared" si="1"/>
        <v>#DIV/0!</v>
      </c>
      <c r="S8" s="243">
        <v>95</v>
      </c>
      <c r="T8" s="245">
        <v>98</v>
      </c>
      <c r="U8" s="245">
        <v>95</v>
      </c>
      <c r="V8" s="245">
        <v>92</v>
      </c>
      <c r="W8" s="245">
        <v>92</v>
      </c>
      <c r="X8" s="245">
        <v>96</v>
      </c>
      <c r="Y8" s="245">
        <v>98</v>
      </c>
      <c r="Z8" s="245"/>
      <c r="AA8" s="245"/>
      <c r="AB8" s="245"/>
      <c r="AC8" s="245">
        <f t="shared" si="2"/>
        <v>95.142857142857139</v>
      </c>
      <c r="AD8" s="245"/>
      <c r="AE8" s="245"/>
      <c r="AF8" s="245"/>
      <c r="AG8" s="245"/>
      <c r="AH8" s="245"/>
      <c r="AI8" s="245"/>
      <c r="AJ8" s="245"/>
      <c r="AK8" s="245"/>
      <c r="AL8" s="245"/>
      <c r="AM8" s="245" t="e">
        <f t="shared" si="3"/>
        <v>#DIV/0!</v>
      </c>
      <c r="AN8" s="245"/>
      <c r="AO8" s="245"/>
      <c r="AP8" s="245"/>
      <c r="AQ8" s="245"/>
      <c r="AR8" s="245"/>
      <c r="AS8" s="245"/>
      <c r="AT8" s="245"/>
      <c r="AU8" s="245" t="e">
        <f t="shared" si="4"/>
        <v>#DIV/0!</v>
      </c>
      <c r="AV8" s="245"/>
      <c r="AW8" s="245"/>
      <c r="AX8" s="245"/>
      <c r="AY8" s="245"/>
      <c r="AZ8" s="245"/>
      <c r="BA8" s="245"/>
      <c r="BB8" s="245"/>
      <c r="BC8" s="245" t="e">
        <f t="shared" si="5"/>
        <v>#DIV/0!</v>
      </c>
      <c r="BD8" s="245" t="e">
        <f t="shared" si="6"/>
        <v>#DIV/0!</v>
      </c>
      <c r="BE8" s="245"/>
      <c r="BF8" s="235">
        <v>90</v>
      </c>
      <c r="BG8" s="245"/>
      <c r="BH8" s="245" t="e">
        <f t="shared" si="7"/>
        <v>#DIV/0!</v>
      </c>
      <c r="BI8" s="245" t="e">
        <f t="shared" si="7"/>
        <v>#DIV/0!</v>
      </c>
      <c r="BJ8" s="247" t="e">
        <f t="shared" si="8"/>
        <v>#DIV/0!</v>
      </c>
      <c r="BK8" s="59">
        <v>86</v>
      </c>
    </row>
    <row r="9" spans="1:63" ht="18.75" customHeight="1">
      <c r="A9" s="147">
        <v>6</v>
      </c>
      <c r="B9" s="135" t="str">
        <f>VLOOKUP(A9,緊急聯絡!A$2:C$27,3,0)</f>
        <v>王奕勳</v>
      </c>
      <c r="C9" s="245"/>
      <c r="D9" s="245"/>
      <c r="E9" s="245"/>
      <c r="F9" s="245"/>
      <c r="G9" s="245"/>
      <c r="H9" s="245"/>
      <c r="I9" s="245"/>
      <c r="J9" s="245" t="e">
        <f t="shared" si="0"/>
        <v>#DIV/0!</v>
      </c>
      <c r="K9" s="245"/>
      <c r="L9" s="245"/>
      <c r="M9" s="245"/>
      <c r="N9" s="245"/>
      <c r="O9" s="245"/>
      <c r="P9" s="245"/>
      <c r="Q9" s="245"/>
      <c r="R9" s="245" t="e">
        <f t="shared" si="1"/>
        <v>#DIV/0!</v>
      </c>
      <c r="S9" s="243">
        <v>87</v>
      </c>
      <c r="T9" s="245">
        <v>90</v>
      </c>
      <c r="U9" s="245">
        <v>86</v>
      </c>
      <c r="V9" s="245">
        <v>80</v>
      </c>
      <c r="W9" s="245">
        <v>82</v>
      </c>
      <c r="X9" s="245">
        <v>96</v>
      </c>
      <c r="Y9" s="245">
        <v>81</v>
      </c>
      <c r="Z9" s="245"/>
      <c r="AA9" s="245"/>
      <c r="AB9" s="245"/>
      <c r="AC9" s="245">
        <f t="shared" si="2"/>
        <v>86</v>
      </c>
      <c r="AD9" s="245"/>
      <c r="AE9" s="245"/>
      <c r="AF9" s="245"/>
      <c r="AG9" s="245"/>
      <c r="AH9" s="245"/>
      <c r="AI9" s="245"/>
      <c r="AJ9" s="245"/>
      <c r="AK9" s="245"/>
      <c r="AL9" s="245"/>
      <c r="AM9" s="245" t="e">
        <f t="shared" si="3"/>
        <v>#DIV/0!</v>
      </c>
      <c r="AN9" s="245"/>
      <c r="AO9" s="245"/>
      <c r="AP9" s="245"/>
      <c r="AQ9" s="245"/>
      <c r="AR9" s="245"/>
      <c r="AS9" s="245"/>
      <c r="AT9" s="245"/>
      <c r="AU9" s="245" t="e">
        <f t="shared" si="4"/>
        <v>#DIV/0!</v>
      </c>
      <c r="AV9" s="245"/>
      <c r="AW9" s="245"/>
      <c r="AX9" s="245"/>
      <c r="AY9" s="245"/>
      <c r="AZ9" s="245"/>
      <c r="BA9" s="245"/>
      <c r="BB9" s="245"/>
      <c r="BC9" s="245" t="e">
        <f t="shared" si="5"/>
        <v>#DIV/0!</v>
      </c>
      <c r="BD9" s="245" t="e">
        <f t="shared" si="6"/>
        <v>#DIV/0!</v>
      </c>
      <c r="BE9" s="245"/>
      <c r="BF9" s="235">
        <v>94</v>
      </c>
      <c r="BG9" s="245"/>
      <c r="BH9" s="245" t="e">
        <f t="shared" si="7"/>
        <v>#DIV/0!</v>
      </c>
      <c r="BI9" s="245" t="e">
        <f t="shared" si="7"/>
        <v>#DIV/0!</v>
      </c>
      <c r="BJ9" s="247" t="e">
        <f t="shared" si="8"/>
        <v>#DIV/0!</v>
      </c>
      <c r="BK9" s="59">
        <v>82</v>
      </c>
    </row>
    <row r="10" spans="1:63" ht="18.75" customHeight="1">
      <c r="A10" s="147">
        <v>7</v>
      </c>
      <c r="B10" s="135" t="str">
        <f>VLOOKUP(A10,緊急聯絡!A$2:C$27,3,0)</f>
        <v>葉彥均</v>
      </c>
      <c r="C10" s="245"/>
      <c r="D10" s="245"/>
      <c r="E10" s="245"/>
      <c r="F10" s="245"/>
      <c r="G10" s="245"/>
      <c r="H10" s="245"/>
      <c r="I10" s="245"/>
      <c r="J10" s="245" t="e">
        <f t="shared" si="0"/>
        <v>#DIV/0!</v>
      </c>
      <c r="K10" s="245"/>
      <c r="L10" s="245"/>
      <c r="M10" s="245"/>
      <c r="N10" s="245"/>
      <c r="O10" s="245"/>
      <c r="P10" s="245"/>
      <c r="Q10" s="245"/>
      <c r="R10" s="245" t="e">
        <f t="shared" si="1"/>
        <v>#DIV/0!</v>
      </c>
      <c r="S10" s="243">
        <v>83</v>
      </c>
      <c r="T10" s="245">
        <v>80</v>
      </c>
      <c r="U10" s="245">
        <v>80</v>
      </c>
      <c r="V10" s="245">
        <v>82</v>
      </c>
      <c r="W10" s="245">
        <v>75</v>
      </c>
      <c r="X10" s="245">
        <v>93</v>
      </c>
      <c r="Y10" s="245">
        <v>78</v>
      </c>
      <c r="Z10" s="245"/>
      <c r="AA10" s="245"/>
      <c r="AB10" s="245"/>
      <c r="AC10" s="245">
        <f t="shared" si="2"/>
        <v>81.571428571428569</v>
      </c>
      <c r="AD10" s="245"/>
      <c r="AE10" s="245"/>
      <c r="AF10" s="245"/>
      <c r="AG10" s="245"/>
      <c r="AH10" s="245"/>
      <c r="AI10" s="245"/>
      <c r="AJ10" s="245"/>
      <c r="AK10" s="245"/>
      <c r="AL10" s="245"/>
      <c r="AM10" s="245" t="e">
        <f t="shared" si="3"/>
        <v>#DIV/0!</v>
      </c>
      <c r="AN10" s="245"/>
      <c r="AO10" s="245"/>
      <c r="AP10" s="245"/>
      <c r="AQ10" s="245"/>
      <c r="AR10" s="245"/>
      <c r="AS10" s="245"/>
      <c r="AT10" s="245"/>
      <c r="AU10" s="245" t="e">
        <f t="shared" si="4"/>
        <v>#DIV/0!</v>
      </c>
      <c r="AV10" s="245"/>
      <c r="AW10" s="245"/>
      <c r="AX10" s="245"/>
      <c r="AY10" s="245"/>
      <c r="AZ10" s="245"/>
      <c r="BA10" s="245"/>
      <c r="BB10" s="245"/>
      <c r="BC10" s="245" t="e">
        <f t="shared" si="5"/>
        <v>#DIV/0!</v>
      </c>
      <c r="BD10" s="245" t="e">
        <f t="shared" si="6"/>
        <v>#DIV/0!</v>
      </c>
      <c r="BE10" s="245"/>
      <c r="BF10" s="235">
        <v>72</v>
      </c>
      <c r="BG10" s="245"/>
      <c r="BH10" s="245" t="e">
        <f t="shared" si="7"/>
        <v>#DIV/0!</v>
      </c>
      <c r="BI10" s="245" t="e">
        <f t="shared" si="7"/>
        <v>#DIV/0!</v>
      </c>
      <c r="BJ10" s="247" t="e">
        <f t="shared" si="8"/>
        <v>#DIV/0!</v>
      </c>
      <c r="BK10" s="59">
        <v>80</v>
      </c>
    </row>
    <row r="11" spans="1:63" ht="18.75" customHeight="1">
      <c r="A11" s="147">
        <v>8</v>
      </c>
      <c r="B11" s="135" t="str">
        <f>VLOOKUP(A11,緊急聯絡!A$2:C$27,3,0)</f>
        <v>洪楷珅</v>
      </c>
      <c r="C11" s="245"/>
      <c r="D11" s="245"/>
      <c r="E11" s="245"/>
      <c r="F11" s="245"/>
      <c r="G11" s="245"/>
      <c r="H11" s="245"/>
      <c r="I11" s="245"/>
      <c r="J11" s="245" t="e">
        <f t="shared" si="0"/>
        <v>#DIV/0!</v>
      </c>
      <c r="K11" s="245"/>
      <c r="L11" s="245"/>
      <c r="M11" s="245"/>
      <c r="N11" s="245"/>
      <c r="O11" s="245"/>
      <c r="P11" s="245"/>
      <c r="Q11" s="245"/>
      <c r="R11" s="245" t="e">
        <f t="shared" si="1"/>
        <v>#DIV/0!</v>
      </c>
      <c r="S11" s="243">
        <v>99</v>
      </c>
      <c r="T11" s="245">
        <v>100</v>
      </c>
      <c r="U11" s="245">
        <v>86</v>
      </c>
      <c r="V11" s="245">
        <v>97</v>
      </c>
      <c r="W11" s="245">
        <v>93</v>
      </c>
      <c r="X11" s="245">
        <v>97</v>
      </c>
      <c r="Y11" s="245">
        <v>97</v>
      </c>
      <c r="Z11" s="245"/>
      <c r="AA11" s="245"/>
      <c r="AB11" s="245"/>
      <c r="AC11" s="245">
        <f t="shared" si="2"/>
        <v>95.571428571428569</v>
      </c>
      <c r="AD11" s="245"/>
      <c r="AE11" s="245"/>
      <c r="AF11" s="245"/>
      <c r="AG11" s="245"/>
      <c r="AH11" s="245"/>
      <c r="AI11" s="245"/>
      <c r="AJ11" s="245"/>
      <c r="AK11" s="245"/>
      <c r="AL11" s="245"/>
      <c r="AM11" s="245" t="e">
        <f t="shared" si="3"/>
        <v>#DIV/0!</v>
      </c>
      <c r="AN11" s="245"/>
      <c r="AO11" s="245"/>
      <c r="AP11" s="245"/>
      <c r="AQ11" s="245"/>
      <c r="AR11" s="245"/>
      <c r="AS11" s="245"/>
      <c r="AT11" s="245"/>
      <c r="AU11" s="245" t="e">
        <f t="shared" si="4"/>
        <v>#DIV/0!</v>
      </c>
      <c r="AV11" s="245"/>
      <c r="AW11" s="245"/>
      <c r="AX11" s="245"/>
      <c r="AY11" s="245"/>
      <c r="AZ11" s="245"/>
      <c r="BA11" s="245"/>
      <c r="BB11" s="245"/>
      <c r="BC11" s="245" t="e">
        <f t="shared" si="5"/>
        <v>#DIV/0!</v>
      </c>
      <c r="BD11" s="245" t="e">
        <f t="shared" si="6"/>
        <v>#DIV/0!</v>
      </c>
      <c r="BE11" s="245"/>
      <c r="BF11" s="235">
        <v>94</v>
      </c>
      <c r="BG11" s="245"/>
      <c r="BH11" s="245" t="e">
        <f t="shared" si="7"/>
        <v>#DIV/0!</v>
      </c>
      <c r="BI11" s="245" t="e">
        <f t="shared" si="7"/>
        <v>#DIV/0!</v>
      </c>
      <c r="BJ11" s="247" t="e">
        <f t="shared" si="8"/>
        <v>#DIV/0!</v>
      </c>
      <c r="BK11" s="59">
        <v>90</v>
      </c>
    </row>
    <row r="12" spans="1:63" ht="18.75" customHeight="1">
      <c r="A12" s="147">
        <v>9</v>
      </c>
      <c r="B12" s="135" t="str">
        <f>VLOOKUP(A12,緊急聯絡!A$2:C$27,3,0)</f>
        <v>吳承哲</v>
      </c>
      <c r="C12" s="245"/>
      <c r="D12" s="245"/>
      <c r="E12" s="245"/>
      <c r="F12" s="245"/>
      <c r="G12" s="245"/>
      <c r="H12" s="245"/>
      <c r="I12" s="245"/>
      <c r="J12" s="245" t="e">
        <f t="shared" si="0"/>
        <v>#DIV/0!</v>
      </c>
      <c r="K12" s="245"/>
      <c r="L12" s="245"/>
      <c r="M12" s="245"/>
      <c r="N12" s="245"/>
      <c r="O12" s="245"/>
      <c r="P12" s="245"/>
      <c r="Q12" s="245"/>
      <c r="R12" s="245" t="e">
        <f t="shared" si="1"/>
        <v>#DIV/0!</v>
      </c>
      <c r="S12" s="243">
        <v>67</v>
      </c>
      <c r="T12" s="245">
        <v>75</v>
      </c>
      <c r="U12" s="245">
        <v>88</v>
      </c>
      <c r="V12" s="245">
        <v>63</v>
      </c>
      <c r="W12" s="245">
        <v>70</v>
      </c>
      <c r="X12" s="245"/>
      <c r="Y12" s="245">
        <v>80</v>
      </c>
      <c r="Z12" s="245"/>
      <c r="AA12" s="245"/>
      <c r="AB12" s="245"/>
      <c r="AC12" s="245">
        <f t="shared" si="2"/>
        <v>73.833333333333329</v>
      </c>
      <c r="AD12" s="245"/>
      <c r="AE12" s="245"/>
      <c r="AF12" s="245"/>
      <c r="AG12" s="245"/>
      <c r="AH12" s="245"/>
      <c r="AI12" s="245"/>
      <c r="AJ12" s="245"/>
      <c r="AK12" s="245"/>
      <c r="AL12" s="245"/>
      <c r="AM12" s="245" t="e">
        <f t="shared" si="3"/>
        <v>#DIV/0!</v>
      </c>
      <c r="AN12" s="245"/>
      <c r="AO12" s="245"/>
      <c r="AP12" s="245"/>
      <c r="AQ12" s="245"/>
      <c r="AR12" s="245"/>
      <c r="AS12" s="245"/>
      <c r="AT12" s="245"/>
      <c r="AU12" s="245" t="e">
        <f t="shared" si="4"/>
        <v>#DIV/0!</v>
      </c>
      <c r="AV12" s="245"/>
      <c r="AW12" s="245"/>
      <c r="AX12" s="245"/>
      <c r="AY12" s="245"/>
      <c r="AZ12" s="245"/>
      <c r="BA12" s="245"/>
      <c r="BB12" s="245"/>
      <c r="BC12" s="245" t="e">
        <f t="shared" si="5"/>
        <v>#DIV/0!</v>
      </c>
      <c r="BD12" s="245" t="e">
        <f t="shared" si="6"/>
        <v>#DIV/0!</v>
      </c>
      <c r="BE12" s="245"/>
      <c r="BF12" s="235">
        <v>95</v>
      </c>
      <c r="BG12" s="245"/>
      <c r="BH12" s="245" t="e">
        <f t="shared" si="7"/>
        <v>#DIV/0!</v>
      </c>
      <c r="BI12" s="245" t="e">
        <f t="shared" si="7"/>
        <v>#DIV/0!</v>
      </c>
      <c r="BJ12" s="247" t="e">
        <f t="shared" si="8"/>
        <v>#DIV/0!</v>
      </c>
      <c r="BK12" s="59">
        <v>92</v>
      </c>
    </row>
    <row r="13" spans="1:63" ht="18.75" customHeight="1">
      <c r="A13" s="147">
        <v>10</v>
      </c>
      <c r="B13" s="135" t="str">
        <f>VLOOKUP(A13,緊急聯絡!A$2:C$27,3,0)</f>
        <v>李宥霆</v>
      </c>
      <c r="C13" s="245"/>
      <c r="D13" s="245"/>
      <c r="E13" s="245"/>
      <c r="F13" s="245"/>
      <c r="G13" s="245"/>
      <c r="H13" s="245"/>
      <c r="I13" s="245"/>
      <c r="J13" s="245" t="e">
        <f t="shared" si="0"/>
        <v>#DIV/0!</v>
      </c>
      <c r="K13" s="245"/>
      <c r="L13" s="245"/>
      <c r="M13" s="245"/>
      <c r="N13" s="245"/>
      <c r="O13" s="245"/>
      <c r="P13" s="245"/>
      <c r="Q13" s="245"/>
      <c r="R13" s="245" t="e">
        <f t="shared" si="1"/>
        <v>#DIV/0!</v>
      </c>
      <c r="S13" s="243">
        <v>93</v>
      </c>
      <c r="T13" s="245">
        <v>84</v>
      </c>
      <c r="U13" s="245">
        <v>89</v>
      </c>
      <c r="V13" s="245">
        <v>80</v>
      </c>
      <c r="W13" s="245">
        <v>80</v>
      </c>
      <c r="X13" s="245">
        <v>88</v>
      </c>
      <c r="Y13" s="245">
        <v>80</v>
      </c>
      <c r="Z13" s="245"/>
      <c r="AA13" s="245"/>
      <c r="AB13" s="245"/>
      <c r="AC13" s="245">
        <f t="shared" si="2"/>
        <v>84.857142857142861</v>
      </c>
      <c r="AD13" s="245"/>
      <c r="AE13" s="245"/>
      <c r="AF13" s="245"/>
      <c r="AG13" s="245"/>
      <c r="AH13" s="245"/>
      <c r="AI13" s="245"/>
      <c r="AJ13" s="245"/>
      <c r="AK13" s="245"/>
      <c r="AL13" s="245"/>
      <c r="AM13" s="245" t="e">
        <f t="shared" si="3"/>
        <v>#DIV/0!</v>
      </c>
      <c r="AN13" s="245"/>
      <c r="AO13" s="245"/>
      <c r="AP13" s="245"/>
      <c r="AQ13" s="245"/>
      <c r="AR13" s="245"/>
      <c r="AS13" s="245"/>
      <c r="AT13" s="245"/>
      <c r="AU13" s="245" t="e">
        <f t="shared" si="4"/>
        <v>#DIV/0!</v>
      </c>
      <c r="AV13" s="245"/>
      <c r="AW13" s="245"/>
      <c r="AX13" s="245"/>
      <c r="AY13" s="245"/>
      <c r="AZ13" s="245"/>
      <c r="BA13" s="245"/>
      <c r="BB13" s="245"/>
      <c r="BC13" s="245" t="e">
        <f t="shared" si="5"/>
        <v>#DIV/0!</v>
      </c>
      <c r="BD13" s="245" t="e">
        <f t="shared" si="6"/>
        <v>#DIV/0!</v>
      </c>
      <c r="BE13" s="245"/>
      <c r="BF13" s="235">
        <v>87</v>
      </c>
      <c r="BG13" s="245"/>
      <c r="BH13" s="245" t="e">
        <f t="shared" si="7"/>
        <v>#DIV/0!</v>
      </c>
      <c r="BI13" s="245" t="e">
        <f t="shared" si="7"/>
        <v>#DIV/0!</v>
      </c>
      <c r="BJ13" s="247" t="e">
        <f t="shared" si="8"/>
        <v>#DIV/0!</v>
      </c>
    </row>
    <row r="14" spans="1:63" ht="18.75" customHeight="1">
      <c r="A14" s="147">
        <v>11</v>
      </c>
      <c r="B14" s="135" t="str">
        <f>VLOOKUP(A14,緊急聯絡!A$2:C$27,3,0)</f>
        <v>柯皓哲</v>
      </c>
      <c r="C14" s="245"/>
      <c r="D14" s="245"/>
      <c r="E14" s="245"/>
      <c r="F14" s="245"/>
      <c r="G14" s="245"/>
      <c r="H14" s="245"/>
      <c r="I14" s="245"/>
      <c r="J14" s="245" t="e">
        <f t="shared" si="0"/>
        <v>#DIV/0!</v>
      </c>
      <c r="K14" s="245"/>
      <c r="L14" s="245"/>
      <c r="M14" s="245"/>
      <c r="N14" s="245"/>
      <c r="O14" s="245"/>
      <c r="P14" s="245"/>
      <c r="Q14" s="245"/>
      <c r="R14" s="245" t="e">
        <f t="shared" si="1"/>
        <v>#DIV/0!</v>
      </c>
      <c r="S14" s="243">
        <v>88</v>
      </c>
      <c r="T14" s="245">
        <v>89</v>
      </c>
      <c r="U14" s="245">
        <v>92</v>
      </c>
      <c r="V14" s="245">
        <v>86</v>
      </c>
      <c r="W14" s="245">
        <v>80</v>
      </c>
      <c r="X14" s="245">
        <v>84</v>
      </c>
      <c r="Y14" s="245">
        <v>92</v>
      </c>
      <c r="Z14" s="245"/>
      <c r="AA14" s="245"/>
      <c r="AB14" s="245"/>
      <c r="AC14" s="245">
        <f t="shared" si="2"/>
        <v>87.285714285714292</v>
      </c>
      <c r="AD14" s="245"/>
      <c r="AE14" s="245"/>
      <c r="AF14" s="245"/>
      <c r="AG14" s="245"/>
      <c r="AH14" s="245"/>
      <c r="AI14" s="245"/>
      <c r="AJ14" s="245"/>
      <c r="AK14" s="245"/>
      <c r="AL14" s="245"/>
      <c r="AM14" s="245" t="e">
        <f t="shared" si="3"/>
        <v>#DIV/0!</v>
      </c>
      <c r="AN14" s="245"/>
      <c r="AO14" s="245"/>
      <c r="AP14" s="245"/>
      <c r="AQ14" s="245"/>
      <c r="AR14" s="245"/>
      <c r="AS14" s="245"/>
      <c r="AT14" s="245"/>
      <c r="AU14" s="245" t="e">
        <f t="shared" si="4"/>
        <v>#DIV/0!</v>
      </c>
      <c r="AV14" s="245"/>
      <c r="AW14" s="245"/>
      <c r="AX14" s="245"/>
      <c r="AY14" s="245"/>
      <c r="AZ14" s="245"/>
      <c r="BA14" s="245"/>
      <c r="BB14" s="245"/>
      <c r="BC14" s="245" t="e">
        <f t="shared" si="5"/>
        <v>#DIV/0!</v>
      </c>
      <c r="BD14" s="245" t="e">
        <f t="shared" si="6"/>
        <v>#DIV/0!</v>
      </c>
      <c r="BE14" s="245"/>
      <c r="BF14" s="235">
        <v>97</v>
      </c>
      <c r="BG14" s="245"/>
      <c r="BH14" s="245" t="e">
        <f t="shared" si="7"/>
        <v>#DIV/0!</v>
      </c>
      <c r="BI14" s="245" t="e">
        <f t="shared" si="7"/>
        <v>#DIV/0!</v>
      </c>
      <c r="BJ14" s="247" t="e">
        <f t="shared" si="8"/>
        <v>#DIV/0!</v>
      </c>
      <c r="BK14" s="59">
        <v>88</v>
      </c>
    </row>
    <row r="15" spans="1:63" ht="18.75" customHeight="1">
      <c r="A15" s="147">
        <v>12</v>
      </c>
      <c r="B15" s="135" t="str">
        <f>VLOOKUP(A15,緊急聯絡!A$2:C$27,3,0)</f>
        <v>魏宇謙</v>
      </c>
      <c r="C15" s="245"/>
      <c r="D15" s="245"/>
      <c r="E15" s="245"/>
      <c r="F15" s="245"/>
      <c r="G15" s="245"/>
      <c r="H15" s="245"/>
      <c r="I15" s="245"/>
      <c r="J15" s="245" t="e">
        <f t="shared" si="0"/>
        <v>#DIV/0!</v>
      </c>
      <c r="K15" s="245"/>
      <c r="L15" s="245"/>
      <c r="M15" s="245"/>
      <c r="N15" s="245"/>
      <c r="O15" s="245"/>
      <c r="P15" s="245"/>
      <c r="Q15" s="245"/>
      <c r="R15" s="245" t="e">
        <f t="shared" si="1"/>
        <v>#DIV/0!</v>
      </c>
      <c r="S15" s="243">
        <v>78</v>
      </c>
      <c r="T15" s="245">
        <v>90</v>
      </c>
      <c r="U15" s="245">
        <v>77</v>
      </c>
      <c r="V15" s="245">
        <v>80</v>
      </c>
      <c r="W15" s="245">
        <v>83</v>
      </c>
      <c r="X15" s="245">
        <v>87</v>
      </c>
      <c r="Y15" s="245">
        <v>89</v>
      </c>
      <c r="Z15" s="245"/>
      <c r="AA15" s="245"/>
      <c r="AB15" s="245"/>
      <c r="AC15" s="245">
        <f t="shared" si="2"/>
        <v>83.428571428571431</v>
      </c>
      <c r="AD15" s="245"/>
      <c r="AE15" s="245"/>
      <c r="AF15" s="245"/>
      <c r="AG15" s="245"/>
      <c r="AH15" s="245"/>
      <c r="AI15" s="245"/>
      <c r="AJ15" s="245"/>
      <c r="AK15" s="245"/>
      <c r="AL15" s="245"/>
      <c r="AM15" s="245" t="e">
        <f t="shared" si="3"/>
        <v>#DIV/0!</v>
      </c>
      <c r="AN15" s="245"/>
      <c r="AO15" s="245"/>
      <c r="AP15" s="245"/>
      <c r="AQ15" s="245"/>
      <c r="AR15" s="245"/>
      <c r="AS15" s="245"/>
      <c r="AT15" s="245"/>
      <c r="AU15" s="245" t="e">
        <f t="shared" si="4"/>
        <v>#DIV/0!</v>
      </c>
      <c r="AV15" s="245"/>
      <c r="AW15" s="245"/>
      <c r="AX15" s="245"/>
      <c r="AY15" s="245"/>
      <c r="AZ15" s="245"/>
      <c r="BA15" s="245"/>
      <c r="BB15" s="245"/>
      <c r="BC15" s="245" t="e">
        <f t="shared" si="5"/>
        <v>#DIV/0!</v>
      </c>
      <c r="BD15" s="245" t="e">
        <f t="shared" si="6"/>
        <v>#DIV/0!</v>
      </c>
      <c r="BE15" s="245"/>
      <c r="BF15" s="235">
        <v>95</v>
      </c>
      <c r="BG15" s="245"/>
      <c r="BH15" s="245" t="e">
        <f t="shared" si="7"/>
        <v>#DIV/0!</v>
      </c>
      <c r="BI15" s="245" t="e">
        <f t="shared" si="7"/>
        <v>#DIV/0!</v>
      </c>
      <c r="BJ15" s="247" t="e">
        <f t="shared" si="8"/>
        <v>#DIV/0!</v>
      </c>
      <c r="BK15" s="59">
        <v>82</v>
      </c>
    </row>
    <row r="16" spans="1:63" ht="18.75" customHeight="1">
      <c r="A16" s="147">
        <v>13</v>
      </c>
      <c r="B16" s="135" t="str">
        <f>VLOOKUP(A16,緊急聯絡!A$2:C$27,3,0)</f>
        <v>林季曄</v>
      </c>
      <c r="C16" s="245"/>
      <c r="D16" s="245"/>
      <c r="E16" s="245"/>
      <c r="F16" s="245"/>
      <c r="G16" s="245"/>
      <c r="H16" s="245"/>
      <c r="I16" s="245"/>
      <c r="J16" s="245" t="e">
        <f t="shared" si="0"/>
        <v>#DIV/0!</v>
      </c>
      <c r="K16" s="245"/>
      <c r="L16" s="245"/>
      <c r="M16" s="245"/>
      <c r="N16" s="245"/>
      <c r="O16" s="245"/>
      <c r="P16" s="245"/>
      <c r="Q16" s="245"/>
      <c r="R16" s="245" t="e">
        <f t="shared" si="1"/>
        <v>#DIV/0!</v>
      </c>
      <c r="S16" s="243">
        <v>85</v>
      </c>
      <c r="T16" s="245">
        <v>85</v>
      </c>
      <c r="U16" s="245">
        <v>95</v>
      </c>
      <c r="V16" s="245">
        <v>75</v>
      </c>
      <c r="W16" s="245">
        <v>88</v>
      </c>
      <c r="X16" s="245">
        <v>92</v>
      </c>
      <c r="Y16" s="245">
        <v>84</v>
      </c>
      <c r="Z16" s="245"/>
      <c r="AA16" s="245"/>
      <c r="AB16" s="245"/>
      <c r="AC16" s="245">
        <f t="shared" si="2"/>
        <v>86.285714285714292</v>
      </c>
      <c r="AD16" s="245"/>
      <c r="AE16" s="245"/>
      <c r="AF16" s="245"/>
      <c r="AG16" s="245"/>
      <c r="AH16" s="245"/>
      <c r="AI16" s="245"/>
      <c r="AJ16" s="245"/>
      <c r="AK16" s="245"/>
      <c r="AL16" s="245"/>
      <c r="AM16" s="245" t="e">
        <f t="shared" si="3"/>
        <v>#DIV/0!</v>
      </c>
      <c r="AN16" s="245"/>
      <c r="AO16" s="245"/>
      <c r="AP16" s="245"/>
      <c r="AQ16" s="245"/>
      <c r="AR16" s="245"/>
      <c r="AS16" s="245"/>
      <c r="AT16" s="245"/>
      <c r="AU16" s="245" t="e">
        <f t="shared" si="4"/>
        <v>#DIV/0!</v>
      </c>
      <c r="AV16" s="245"/>
      <c r="AW16" s="245"/>
      <c r="AX16" s="245"/>
      <c r="AY16" s="245"/>
      <c r="AZ16" s="245"/>
      <c r="BA16" s="245"/>
      <c r="BB16" s="245"/>
      <c r="BC16" s="245" t="e">
        <f t="shared" si="5"/>
        <v>#DIV/0!</v>
      </c>
      <c r="BD16" s="245" t="e">
        <f t="shared" si="6"/>
        <v>#DIV/0!</v>
      </c>
      <c r="BE16" s="245"/>
      <c r="BF16" s="235">
        <v>98</v>
      </c>
      <c r="BG16" s="245"/>
      <c r="BH16" s="245" t="e">
        <f t="shared" si="7"/>
        <v>#DIV/0!</v>
      </c>
      <c r="BI16" s="245" t="e">
        <f t="shared" si="7"/>
        <v>#DIV/0!</v>
      </c>
      <c r="BJ16" s="247" t="e">
        <f t="shared" si="8"/>
        <v>#DIV/0!</v>
      </c>
      <c r="BK16" s="59">
        <v>85</v>
      </c>
    </row>
    <row r="17" spans="1:63" ht="18.75" customHeight="1">
      <c r="A17" s="147">
        <v>14</v>
      </c>
      <c r="B17" s="135" t="str">
        <f>VLOOKUP(A17,緊急聯絡!A$2:C$27,3,0)</f>
        <v>高翊庭</v>
      </c>
      <c r="C17" s="245"/>
      <c r="D17" s="245"/>
      <c r="E17" s="245"/>
      <c r="F17" s="245"/>
      <c r="G17" s="245"/>
      <c r="H17" s="245"/>
      <c r="I17" s="245"/>
      <c r="J17" s="245" t="e">
        <f t="shared" si="0"/>
        <v>#DIV/0!</v>
      </c>
      <c r="K17" s="245"/>
      <c r="L17" s="245"/>
      <c r="M17" s="245"/>
      <c r="N17" s="245"/>
      <c r="O17" s="245"/>
      <c r="P17" s="245"/>
      <c r="Q17" s="245"/>
      <c r="R17" s="245" t="e">
        <f t="shared" si="1"/>
        <v>#DIV/0!</v>
      </c>
      <c r="S17" s="243">
        <v>100</v>
      </c>
      <c r="T17" s="245">
        <v>90</v>
      </c>
      <c r="U17" s="245">
        <v>96</v>
      </c>
      <c r="V17" s="245">
        <v>85</v>
      </c>
      <c r="W17" s="245">
        <v>85</v>
      </c>
      <c r="X17" s="245">
        <v>92</v>
      </c>
      <c r="Y17" s="245">
        <v>99</v>
      </c>
      <c r="Z17" s="245"/>
      <c r="AA17" s="245"/>
      <c r="AB17" s="245"/>
      <c r="AC17" s="245">
        <f t="shared" si="2"/>
        <v>92.428571428571431</v>
      </c>
      <c r="AD17" s="245"/>
      <c r="AE17" s="245"/>
      <c r="AF17" s="245"/>
      <c r="AG17" s="245"/>
      <c r="AH17" s="245"/>
      <c r="AI17" s="245"/>
      <c r="AJ17" s="245"/>
      <c r="AK17" s="245"/>
      <c r="AL17" s="245"/>
      <c r="AM17" s="245" t="e">
        <f t="shared" si="3"/>
        <v>#DIV/0!</v>
      </c>
      <c r="AN17" s="245"/>
      <c r="AO17" s="245"/>
      <c r="AP17" s="245"/>
      <c r="AQ17" s="245"/>
      <c r="AR17" s="245"/>
      <c r="AS17" s="245"/>
      <c r="AT17" s="245"/>
      <c r="AU17" s="245" t="e">
        <f t="shared" si="4"/>
        <v>#DIV/0!</v>
      </c>
      <c r="AV17" s="245"/>
      <c r="AW17" s="245"/>
      <c r="AX17" s="245"/>
      <c r="AY17" s="245"/>
      <c r="AZ17" s="245"/>
      <c r="BA17" s="245"/>
      <c r="BB17" s="245"/>
      <c r="BC17" s="245" t="e">
        <f t="shared" si="5"/>
        <v>#DIV/0!</v>
      </c>
      <c r="BD17" s="245" t="e">
        <f t="shared" si="6"/>
        <v>#DIV/0!</v>
      </c>
      <c r="BE17" s="245"/>
      <c r="BF17" s="235">
        <v>97</v>
      </c>
      <c r="BG17" s="245"/>
      <c r="BH17" s="245" t="e">
        <f t="shared" si="7"/>
        <v>#DIV/0!</v>
      </c>
      <c r="BI17" s="245" t="e">
        <f t="shared" si="7"/>
        <v>#DIV/0!</v>
      </c>
      <c r="BJ17" s="247" t="e">
        <f t="shared" si="8"/>
        <v>#DIV/0!</v>
      </c>
      <c r="BK17" s="59">
        <v>90</v>
      </c>
    </row>
    <row r="18" spans="1:63" ht="18.75" customHeight="1">
      <c r="A18" s="147">
        <v>15</v>
      </c>
      <c r="B18" s="135" t="str">
        <f>VLOOKUP(A18,緊急聯絡!A$2:C$27,3,0)</f>
        <v>藍彩華</v>
      </c>
      <c r="C18" s="245"/>
      <c r="D18" s="245"/>
      <c r="E18" s="245"/>
      <c r="F18" s="245"/>
      <c r="G18" s="245"/>
      <c r="H18" s="245"/>
      <c r="I18" s="245"/>
      <c r="J18" s="245" t="e">
        <f t="shared" si="0"/>
        <v>#DIV/0!</v>
      </c>
      <c r="K18" s="245"/>
      <c r="L18" s="245"/>
      <c r="M18" s="245"/>
      <c r="N18" s="245"/>
      <c r="O18" s="245"/>
      <c r="P18" s="245"/>
      <c r="Q18" s="245"/>
      <c r="R18" s="245" t="e">
        <f t="shared" si="1"/>
        <v>#DIV/0!</v>
      </c>
      <c r="S18" s="243">
        <v>95</v>
      </c>
      <c r="T18" s="245">
        <v>100</v>
      </c>
      <c r="U18" s="245">
        <v>99</v>
      </c>
      <c r="V18" s="245">
        <v>100</v>
      </c>
      <c r="W18" s="245">
        <v>98</v>
      </c>
      <c r="X18" s="245">
        <v>95</v>
      </c>
      <c r="Y18" s="245">
        <v>100</v>
      </c>
      <c r="Z18" s="245"/>
      <c r="AA18" s="245"/>
      <c r="AB18" s="245"/>
      <c r="AC18" s="245">
        <f t="shared" si="2"/>
        <v>98.142857142857139</v>
      </c>
      <c r="AD18" s="245"/>
      <c r="AE18" s="245"/>
      <c r="AF18" s="245"/>
      <c r="AG18" s="245"/>
      <c r="AH18" s="245"/>
      <c r="AI18" s="245"/>
      <c r="AJ18" s="245"/>
      <c r="AK18" s="245"/>
      <c r="AL18" s="245"/>
      <c r="AM18" s="245" t="e">
        <f t="shared" si="3"/>
        <v>#DIV/0!</v>
      </c>
      <c r="AN18" s="245"/>
      <c r="AO18" s="245"/>
      <c r="AP18" s="245"/>
      <c r="AQ18" s="245"/>
      <c r="AR18" s="245"/>
      <c r="AS18" s="245"/>
      <c r="AT18" s="245"/>
      <c r="AU18" s="245" t="e">
        <f t="shared" si="4"/>
        <v>#DIV/0!</v>
      </c>
      <c r="AV18" s="245"/>
      <c r="AW18" s="245"/>
      <c r="AX18" s="245"/>
      <c r="AY18" s="245"/>
      <c r="AZ18" s="245"/>
      <c r="BA18" s="245"/>
      <c r="BB18" s="245"/>
      <c r="BC18" s="245" t="e">
        <f t="shared" si="5"/>
        <v>#DIV/0!</v>
      </c>
      <c r="BD18" s="245" t="e">
        <f t="shared" si="6"/>
        <v>#DIV/0!</v>
      </c>
      <c r="BE18" s="245"/>
      <c r="BF18" s="235">
        <v>96</v>
      </c>
      <c r="BG18" s="245"/>
      <c r="BH18" s="245" t="e">
        <f t="shared" si="7"/>
        <v>#DIV/0!</v>
      </c>
      <c r="BI18" s="245" t="e">
        <f t="shared" si="7"/>
        <v>#DIV/0!</v>
      </c>
      <c r="BJ18" s="247" t="e">
        <f t="shared" si="8"/>
        <v>#DIV/0!</v>
      </c>
      <c r="BK18" s="59">
        <v>95</v>
      </c>
    </row>
    <row r="19" spans="1:63" ht="18.75" customHeight="1">
      <c r="A19" s="147">
        <v>16</v>
      </c>
      <c r="B19" s="135" t="str">
        <f>VLOOKUP(A19,緊急聯絡!A$2:C$27,3,0)</f>
        <v>曾琛晞</v>
      </c>
      <c r="C19" s="245"/>
      <c r="D19" s="245"/>
      <c r="E19" s="245"/>
      <c r="F19" s="245"/>
      <c r="G19" s="245"/>
      <c r="H19" s="245"/>
      <c r="I19" s="245"/>
      <c r="J19" s="245" t="e">
        <f t="shared" si="0"/>
        <v>#DIV/0!</v>
      </c>
      <c r="K19" s="245"/>
      <c r="L19" s="245"/>
      <c r="M19" s="245"/>
      <c r="N19" s="245"/>
      <c r="O19" s="245"/>
      <c r="P19" s="245"/>
      <c r="Q19" s="245"/>
      <c r="R19" s="245" t="e">
        <f t="shared" si="1"/>
        <v>#DIV/0!</v>
      </c>
      <c r="S19" s="243">
        <v>92</v>
      </c>
      <c r="T19" s="245">
        <v>92</v>
      </c>
      <c r="U19" s="245">
        <v>93</v>
      </c>
      <c r="V19" s="245">
        <v>81</v>
      </c>
      <c r="W19" s="245">
        <v>87</v>
      </c>
      <c r="X19" s="245">
        <v>85</v>
      </c>
      <c r="Y19" s="245">
        <v>89</v>
      </c>
      <c r="Z19" s="245"/>
      <c r="AA19" s="245"/>
      <c r="AB19" s="245"/>
      <c r="AC19" s="245">
        <f t="shared" si="2"/>
        <v>88.428571428571431</v>
      </c>
      <c r="AD19" s="245"/>
      <c r="AE19" s="245"/>
      <c r="AF19" s="245"/>
      <c r="AG19" s="245"/>
      <c r="AH19" s="245"/>
      <c r="AI19" s="245"/>
      <c r="AJ19" s="245"/>
      <c r="AK19" s="245"/>
      <c r="AL19" s="245"/>
      <c r="AM19" s="245" t="e">
        <f t="shared" si="3"/>
        <v>#DIV/0!</v>
      </c>
      <c r="AN19" s="245"/>
      <c r="AO19" s="245"/>
      <c r="AP19" s="245"/>
      <c r="AQ19" s="245"/>
      <c r="AR19" s="245"/>
      <c r="AS19" s="245"/>
      <c r="AT19" s="245"/>
      <c r="AU19" s="245" t="e">
        <f t="shared" si="4"/>
        <v>#DIV/0!</v>
      </c>
      <c r="AV19" s="245"/>
      <c r="AW19" s="245"/>
      <c r="AX19" s="245"/>
      <c r="AY19" s="245"/>
      <c r="AZ19" s="245"/>
      <c r="BA19" s="245"/>
      <c r="BB19" s="245"/>
      <c r="BC19" s="245" t="e">
        <f t="shared" si="5"/>
        <v>#DIV/0!</v>
      </c>
      <c r="BD19" s="245" t="e">
        <f t="shared" si="6"/>
        <v>#DIV/0!</v>
      </c>
      <c r="BE19" s="245"/>
      <c r="BF19" s="235">
        <v>96</v>
      </c>
      <c r="BG19" s="245"/>
      <c r="BH19" s="245" t="e">
        <f t="shared" si="7"/>
        <v>#DIV/0!</v>
      </c>
      <c r="BI19" s="245" t="e">
        <f t="shared" si="7"/>
        <v>#DIV/0!</v>
      </c>
      <c r="BJ19" s="247" t="e">
        <f t="shared" si="8"/>
        <v>#DIV/0!</v>
      </c>
      <c r="BK19" s="59">
        <v>85</v>
      </c>
    </row>
    <row r="20" spans="1:63" ht="18.75" customHeight="1">
      <c r="A20" s="147">
        <v>17</v>
      </c>
      <c r="B20" s="135" t="str">
        <f>VLOOKUP(A20,緊急聯絡!A$2:C$27,3,0)</f>
        <v>張智函</v>
      </c>
      <c r="C20" s="245"/>
      <c r="D20" s="245"/>
      <c r="E20" s="245"/>
      <c r="F20" s="245"/>
      <c r="G20" s="245"/>
      <c r="H20" s="245"/>
      <c r="I20" s="245"/>
      <c r="J20" s="245" t="e">
        <f t="shared" si="0"/>
        <v>#DIV/0!</v>
      </c>
      <c r="K20" s="245"/>
      <c r="L20" s="245"/>
      <c r="M20" s="245"/>
      <c r="N20" s="245"/>
      <c r="O20" s="245"/>
      <c r="P20" s="245"/>
      <c r="Q20" s="245"/>
      <c r="R20" s="245" t="e">
        <f t="shared" si="1"/>
        <v>#DIV/0!</v>
      </c>
      <c r="S20" s="243">
        <v>96</v>
      </c>
      <c r="T20" s="245">
        <v>97</v>
      </c>
      <c r="U20" s="245">
        <v>99</v>
      </c>
      <c r="V20" s="245">
        <v>100</v>
      </c>
      <c r="W20" s="245">
        <v>98</v>
      </c>
      <c r="X20" s="245">
        <v>95</v>
      </c>
      <c r="Y20" s="245">
        <v>96</v>
      </c>
      <c r="Z20" s="245"/>
      <c r="AA20" s="245"/>
      <c r="AB20" s="245"/>
      <c r="AC20" s="245">
        <f t="shared" si="2"/>
        <v>97.285714285714292</v>
      </c>
      <c r="AD20" s="245"/>
      <c r="AE20" s="245"/>
      <c r="AF20" s="245"/>
      <c r="AG20" s="245"/>
      <c r="AH20" s="245"/>
      <c r="AI20" s="245"/>
      <c r="AJ20" s="245"/>
      <c r="AK20" s="245"/>
      <c r="AL20" s="245"/>
      <c r="AM20" s="245" t="e">
        <f t="shared" si="3"/>
        <v>#DIV/0!</v>
      </c>
      <c r="AN20" s="245"/>
      <c r="AO20" s="245"/>
      <c r="AP20" s="245"/>
      <c r="AQ20" s="245"/>
      <c r="AR20" s="245"/>
      <c r="AS20" s="245"/>
      <c r="AT20" s="245"/>
      <c r="AU20" s="245" t="e">
        <f t="shared" si="4"/>
        <v>#DIV/0!</v>
      </c>
      <c r="AV20" s="245"/>
      <c r="AW20" s="245"/>
      <c r="AX20" s="245"/>
      <c r="AY20" s="245"/>
      <c r="AZ20" s="245"/>
      <c r="BA20" s="245"/>
      <c r="BB20" s="245"/>
      <c r="BC20" s="245" t="e">
        <f t="shared" si="5"/>
        <v>#DIV/0!</v>
      </c>
      <c r="BD20" s="245" t="e">
        <f t="shared" si="6"/>
        <v>#DIV/0!</v>
      </c>
      <c r="BE20" s="245"/>
      <c r="BF20" s="235">
        <v>85</v>
      </c>
      <c r="BG20" s="245"/>
      <c r="BH20" s="245" t="e">
        <f t="shared" si="7"/>
        <v>#DIV/0!</v>
      </c>
      <c r="BI20" s="245" t="e">
        <f t="shared" si="7"/>
        <v>#DIV/0!</v>
      </c>
      <c r="BJ20" s="247" t="e">
        <f t="shared" si="8"/>
        <v>#DIV/0!</v>
      </c>
      <c r="BK20" s="59">
        <v>82</v>
      </c>
    </row>
    <row r="21" spans="1:63" ht="18.75" customHeight="1">
      <c r="A21" s="147">
        <v>18</v>
      </c>
      <c r="B21" s="135" t="str">
        <f>VLOOKUP(A21,緊急聯絡!A$2:C$27,3,0)</f>
        <v>許凌菲</v>
      </c>
      <c r="C21" s="245"/>
      <c r="D21" s="245"/>
      <c r="E21" s="245"/>
      <c r="F21" s="245"/>
      <c r="G21" s="245"/>
      <c r="H21" s="245"/>
      <c r="I21" s="245"/>
      <c r="J21" s="245" t="e">
        <f t="shared" si="0"/>
        <v>#DIV/0!</v>
      </c>
      <c r="K21" s="245"/>
      <c r="L21" s="245"/>
      <c r="M21" s="245"/>
      <c r="N21" s="245"/>
      <c r="O21" s="245"/>
      <c r="P21" s="245"/>
      <c r="Q21" s="245"/>
      <c r="R21" s="245" t="e">
        <f t="shared" si="1"/>
        <v>#DIV/0!</v>
      </c>
      <c r="S21" s="243">
        <v>95</v>
      </c>
      <c r="T21" s="245">
        <v>97</v>
      </c>
      <c r="U21" s="245">
        <v>91</v>
      </c>
      <c r="V21" s="245">
        <v>94</v>
      </c>
      <c r="W21" s="245">
        <v>95</v>
      </c>
      <c r="X21" s="245">
        <v>92</v>
      </c>
      <c r="Y21" s="245">
        <v>90</v>
      </c>
      <c r="Z21" s="245"/>
      <c r="AA21" s="245"/>
      <c r="AB21" s="245"/>
      <c r="AC21" s="245">
        <f t="shared" si="2"/>
        <v>93.428571428571431</v>
      </c>
      <c r="AD21" s="245"/>
      <c r="AE21" s="245"/>
      <c r="AF21" s="245"/>
      <c r="AG21" s="245"/>
      <c r="AH21" s="245"/>
      <c r="AI21" s="245"/>
      <c r="AJ21" s="245"/>
      <c r="AK21" s="245"/>
      <c r="AL21" s="245"/>
      <c r="AM21" s="245" t="e">
        <f t="shared" si="3"/>
        <v>#DIV/0!</v>
      </c>
      <c r="AN21" s="245"/>
      <c r="AO21" s="245"/>
      <c r="AP21" s="245"/>
      <c r="AQ21" s="245"/>
      <c r="AR21" s="245"/>
      <c r="AS21" s="245"/>
      <c r="AT21" s="245"/>
      <c r="AU21" s="245" t="e">
        <f t="shared" si="4"/>
        <v>#DIV/0!</v>
      </c>
      <c r="AV21" s="245"/>
      <c r="AW21" s="245"/>
      <c r="AX21" s="245"/>
      <c r="AY21" s="245"/>
      <c r="AZ21" s="245"/>
      <c r="BA21" s="245"/>
      <c r="BB21" s="245"/>
      <c r="BC21" s="245" t="e">
        <f t="shared" si="5"/>
        <v>#DIV/0!</v>
      </c>
      <c r="BD21" s="245" t="e">
        <f t="shared" si="6"/>
        <v>#DIV/0!</v>
      </c>
      <c r="BE21" s="245"/>
      <c r="BF21" s="235">
        <v>91</v>
      </c>
      <c r="BG21" s="245"/>
      <c r="BH21" s="245" t="e">
        <f t="shared" si="7"/>
        <v>#DIV/0!</v>
      </c>
      <c r="BI21" s="245" t="e">
        <f t="shared" si="7"/>
        <v>#DIV/0!</v>
      </c>
      <c r="BJ21" s="247" t="e">
        <f t="shared" si="8"/>
        <v>#DIV/0!</v>
      </c>
      <c r="BK21" s="59">
        <v>88</v>
      </c>
    </row>
    <row r="22" spans="1:63" ht="18.75" customHeight="1">
      <c r="A22" s="147">
        <v>19</v>
      </c>
      <c r="B22" s="135" t="str">
        <f>VLOOKUP(A22,緊急聯絡!A$2:C$27,3,0)</f>
        <v>吳羽棠</v>
      </c>
      <c r="C22" s="245"/>
      <c r="D22" s="245"/>
      <c r="E22" s="245"/>
      <c r="F22" s="245"/>
      <c r="G22" s="245"/>
      <c r="H22" s="245"/>
      <c r="I22" s="245"/>
      <c r="J22" s="245" t="e">
        <f t="shared" si="0"/>
        <v>#DIV/0!</v>
      </c>
      <c r="K22" s="245"/>
      <c r="L22" s="245"/>
      <c r="M22" s="245"/>
      <c r="N22" s="245"/>
      <c r="O22" s="245"/>
      <c r="P22" s="245"/>
      <c r="Q22" s="245"/>
      <c r="R22" s="245" t="e">
        <f t="shared" si="1"/>
        <v>#DIV/0!</v>
      </c>
      <c r="S22" s="243">
        <v>96</v>
      </c>
      <c r="T22" s="245">
        <v>97</v>
      </c>
      <c r="U22" s="245">
        <v>97</v>
      </c>
      <c r="V22" s="245">
        <v>75</v>
      </c>
      <c r="W22" s="245">
        <v>92</v>
      </c>
      <c r="X22" s="245">
        <v>87</v>
      </c>
      <c r="Y22" s="245"/>
      <c r="Z22" s="245"/>
      <c r="AA22" s="245"/>
      <c r="AB22" s="245"/>
      <c r="AC22" s="245">
        <f t="shared" si="2"/>
        <v>90.666666666666671</v>
      </c>
      <c r="AD22" s="245"/>
      <c r="AE22" s="245"/>
      <c r="AF22" s="245"/>
      <c r="AG22" s="245"/>
      <c r="AH22" s="245"/>
      <c r="AI22" s="245"/>
      <c r="AJ22" s="245"/>
      <c r="AK22" s="245"/>
      <c r="AL22" s="245"/>
      <c r="AM22" s="245" t="e">
        <f t="shared" si="3"/>
        <v>#DIV/0!</v>
      </c>
      <c r="AN22" s="245"/>
      <c r="AO22" s="245"/>
      <c r="AP22" s="245"/>
      <c r="AQ22" s="245"/>
      <c r="AR22" s="245"/>
      <c r="AS22" s="245"/>
      <c r="AT22" s="245"/>
      <c r="AU22" s="245" t="e">
        <f t="shared" si="4"/>
        <v>#DIV/0!</v>
      </c>
      <c r="AV22" s="245"/>
      <c r="AW22" s="245"/>
      <c r="AX22" s="245"/>
      <c r="AY22" s="245"/>
      <c r="AZ22" s="245"/>
      <c r="BA22" s="245"/>
      <c r="BB22" s="245"/>
      <c r="BC22" s="245" t="e">
        <f t="shared" si="5"/>
        <v>#DIV/0!</v>
      </c>
      <c r="BD22" s="245" t="e">
        <f t="shared" si="6"/>
        <v>#DIV/0!</v>
      </c>
      <c r="BE22" s="245"/>
      <c r="BF22" s="235">
        <v>82</v>
      </c>
      <c r="BG22" s="245"/>
      <c r="BH22" s="245" t="e">
        <f t="shared" si="7"/>
        <v>#DIV/0!</v>
      </c>
      <c r="BI22" s="245" t="e">
        <f t="shared" si="7"/>
        <v>#DIV/0!</v>
      </c>
      <c r="BJ22" s="247" t="e">
        <f t="shared" si="8"/>
        <v>#DIV/0!</v>
      </c>
      <c r="BK22" s="59">
        <v>90</v>
      </c>
    </row>
    <row r="23" spans="1:63" ht="18.75" customHeight="1">
      <c r="A23" s="147">
        <v>20</v>
      </c>
      <c r="B23" s="135" t="str">
        <f>VLOOKUP(A23,緊急聯絡!A$2:C$27,3,0)</f>
        <v>蔡羽媗</v>
      </c>
      <c r="C23" s="245"/>
      <c r="D23" s="245"/>
      <c r="E23" s="245"/>
      <c r="F23" s="245"/>
      <c r="G23" s="245"/>
      <c r="H23" s="245"/>
      <c r="I23" s="245"/>
      <c r="J23" s="245" t="e">
        <f t="shared" si="0"/>
        <v>#DIV/0!</v>
      </c>
      <c r="K23" s="245"/>
      <c r="L23" s="245"/>
      <c r="M23" s="245"/>
      <c r="N23" s="245"/>
      <c r="O23" s="245"/>
      <c r="P23" s="245"/>
      <c r="Q23" s="245"/>
      <c r="R23" s="245" t="e">
        <f t="shared" si="1"/>
        <v>#DIV/0!</v>
      </c>
      <c r="S23" s="243">
        <v>96</v>
      </c>
      <c r="T23" s="245">
        <v>98</v>
      </c>
      <c r="U23" s="245">
        <v>95</v>
      </c>
      <c r="V23" s="245">
        <v>95</v>
      </c>
      <c r="W23" s="245">
        <v>98</v>
      </c>
      <c r="X23" s="245">
        <v>97</v>
      </c>
      <c r="Y23" s="245">
        <v>93</v>
      </c>
      <c r="Z23" s="245"/>
      <c r="AA23" s="245"/>
      <c r="AB23" s="245"/>
      <c r="AC23" s="245">
        <f t="shared" si="2"/>
        <v>96</v>
      </c>
      <c r="AD23" s="245"/>
      <c r="AE23" s="245"/>
      <c r="AF23" s="245"/>
      <c r="AG23" s="245"/>
      <c r="AH23" s="245"/>
      <c r="AI23" s="245"/>
      <c r="AJ23" s="245"/>
      <c r="AK23" s="245"/>
      <c r="AL23" s="245"/>
      <c r="AM23" s="245" t="e">
        <f t="shared" si="3"/>
        <v>#DIV/0!</v>
      </c>
      <c r="AN23" s="245"/>
      <c r="AO23" s="245"/>
      <c r="AP23" s="245"/>
      <c r="AQ23" s="245"/>
      <c r="AR23" s="245"/>
      <c r="AS23" s="245"/>
      <c r="AT23" s="245"/>
      <c r="AU23" s="245" t="e">
        <f t="shared" si="4"/>
        <v>#DIV/0!</v>
      </c>
      <c r="AV23" s="245"/>
      <c r="AW23" s="245"/>
      <c r="AX23" s="245"/>
      <c r="AY23" s="245"/>
      <c r="AZ23" s="245"/>
      <c r="BA23" s="245"/>
      <c r="BB23" s="245"/>
      <c r="BC23" s="245" t="e">
        <f t="shared" si="5"/>
        <v>#DIV/0!</v>
      </c>
      <c r="BD23" s="245" t="e">
        <f t="shared" si="6"/>
        <v>#DIV/0!</v>
      </c>
      <c r="BE23" s="245"/>
      <c r="BF23" s="235">
        <v>87</v>
      </c>
      <c r="BG23" s="245"/>
      <c r="BH23" s="245" t="e">
        <f t="shared" si="7"/>
        <v>#DIV/0!</v>
      </c>
      <c r="BI23" s="245" t="e">
        <f t="shared" si="7"/>
        <v>#DIV/0!</v>
      </c>
      <c r="BJ23" s="247" t="e">
        <f t="shared" si="8"/>
        <v>#DIV/0!</v>
      </c>
      <c r="BK23" s="59">
        <v>85</v>
      </c>
    </row>
    <row r="24" spans="1:63" ht="18.75" customHeight="1">
      <c r="A24" s="147">
        <v>21</v>
      </c>
      <c r="B24" s="135" t="str">
        <f>VLOOKUP(A24,緊急聯絡!A$2:C$27,3,0)</f>
        <v>楊筱歆</v>
      </c>
      <c r="C24" s="245"/>
      <c r="D24" s="245"/>
      <c r="E24" s="245"/>
      <c r="F24" s="245"/>
      <c r="G24" s="245"/>
      <c r="H24" s="245"/>
      <c r="I24" s="245"/>
      <c r="J24" s="245" t="e">
        <f t="shared" si="0"/>
        <v>#DIV/0!</v>
      </c>
      <c r="K24" s="245"/>
      <c r="L24" s="245"/>
      <c r="M24" s="245"/>
      <c r="N24" s="245"/>
      <c r="O24" s="245"/>
      <c r="P24" s="245"/>
      <c r="Q24" s="245"/>
      <c r="R24" s="245" t="e">
        <f t="shared" si="1"/>
        <v>#DIV/0!</v>
      </c>
      <c r="S24" s="243">
        <v>81</v>
      </c>
      <c r="T24" s="245">
        <v>80</v>
      </c>
      <c r="U24" s="245">
        <v>74</v>
      </c>
      <c r="V24" s="245">
        <v>79</v>
      </c>
      <c r="W24" s="245">
        <v>82</v>
      </c>
      <c r="X24" s="245">
        <v>68</v>
      </c>
      <c r="Y24" s="245">
        <v>78</v>
      </c>
      <c r="Z24" s="245"/>
      <c r="AA24" s="245"/>
      <c r="AB24" s="245"/>
      <c r="AC24" s="245">
        <f t="shared" si="2"/>
        <v>77.428571428571431</v>
      </c>
      <c r="AD24" s="245"/>
      <c r="AE24" s="245"/>
      <c r="AF24" s="245"/>
      <c r="AG24" s="245"/>
      <c r="AH24" s="245"/>
      <c r="AI24" s="245"/>
      <c r="AJ24" s="245"/>
      <c r="AK24" s="245"/>
      <c r="AL24" s="245"/>
      <c r="AM24" s="245" t="e">
        <f t="shared" si="3"/>
        <v>#DIV/0!</v>
      </c>
      <c r="AN24" s="245"/>
      <c r="AO24" s="245"/>
      <c r="AP24" s="245"/>
      <c r="AQ24" s="245"/>
      <c r="AR24" s="245"/>
      <c r="AS24" s="245"/>
      <c r="AT24" s="245"/>
      <c r="AU24" s="245" t="e">
        <f t="shared" si="4"/>
        <v>#DIV/0!</v>
      </c>
      <c r="AV24" s="245"/>
      <c r="AW24" s="245"/>
      <c r="AX24" s="245"/>
      <c r="AY24" s="245"/>
      <c r="AZ24" s="245"/>
      <c r="BA24" s="245"/>
      <c r="BB24" s="245"/>
      <c r="BC24" s="245" t="e">
        <f t="shared" si="5"/>
        <v>#DIV/0!</v>
      </c>
      <c r="BD24" s="245" t="e">
        <f t="shared" si="6"/>
        <v>#DIV/0!</v>
      </c>
      <c r="BE24" s="245"/>
      <c r="BF24" s="235">
        <v>95</v>
      </c>
      <c r="BG24" s="245"/>
      <c r="BH24" s="245" t="e">
        <f t="shared" si="7"/>
        <v>#DIV/0!</v>
      </c>
      <c r="BI24" s="245" t="e">
        <f t="shared" si="7"/>
        <v>#DIV/0!</v>
      </c>
      <c r="BJ24" s="247" t="e">
        <f t="shared" si="8"/>
        <v>#DIV/0!</v>
      </c>
      <c r="BK24" s="59">
        <v>88</v>
      </c>
    </row>
    <row r="25" spans="1:63" ht="18.75" customHeight="1">
      <c r="A25" s="147">
        <v>22</v>
      </c>
      <c r="B25" s="135" t="str">
        <f>VLOOKUP(A25,緊急聯絡!A$2:C$27,3,0)</f>
        <v>邱詩涵</v>
      </c>
      <c r="C25" s="245"/>
      <c r="D25" s="245"/>
      <c r="E25" s="245"/>
      <c r="F25" s="245"/>
      <c r="G25" s="245"/>
      <c r="H25" s="245"/>
      <c r="I25" s="245"/>
      <c r="J25" s="245" t="e">
        <f t="shared" si="0"/>
        <v>#DIV/0!</v>
      </c>
      <c r="K25" s="245"/>
      <c r="L25" s="245"/>
      <c r="M25" s="245"/>
      <c r="N25" s="245"/>
      <c r="O25" s="245"/>
      <c r="P25" s="245"/>
      <c r="Q25" s="245"/>
      <c r="R25" s="245" t="e">
        <f t="shared" si="1"/>
        <v>#DIV/0!</v>
      </c>
      <c r="S25" s="243">
        <v>94</v>
      </c>
      <c r="T25" s="245">
        <v>87</v>
      </c>
      <c r="U25" s="245">
        <v>90</v>
      </c>
      <c r="V25" s="245">
        <v>87</v>
      </c>
      <c r="W25" s="245">
        <v>84</v>
      </c>
      <c r="X25" s="245">
        <v>97</v>
      </c>
      <c r="Y25" s="245">
        <v>94</v>
      </c>
      <c r="Z25" s="245"/>
      <c r="AA25" s="245"/>
      <c r="AB25" s="245"/>
      <c r="AC25" s="245">
        <f t="shared" si="2"/>
        <v>90.428571428571431</v>
      </c>
      <c r="AD25" s="245"/>
      <c r="AE25" s="245"/>
      <c r="AF25" s="245"/>
      <c r="AG25" s="245"/>
      <c r="AH25" s="245"/>
      <c r="AI25" s="245"/>
      <c r="AJ25" s="245"/>
      <c r="AK25" s="245"/>
      <c r="AL25" s="245"/>
      <c r="AM25" s="245" t="e">
        <f t="shared" si="3"/>
        <v>#DIV/0!</v>
      </c>
      <c r="AN25" s="245"/>
      <c r="AO25" s="245"/>
      <c r="AP25" s="245"/>
      <c r="AQ25" s="245"/>
      <c r="AR25" s="245"/>
      <c r="AS25" s="245"/>
      <c r="AT25" s="245"/>
      <c r="AU25" s="245" t="e">
        <f t="shared" si="4"/>
        <v>#DIV/0!</v>
      </c>
      <c r="AV25" s="245"/>
      <c r="AW25" s="245"/>
      <c r="AX25" s="245"/>
      <c r="AY25" s="245"/>
      <c r="AZ25" s="245"/>
      <c r="BA25" s="245"/>
      <c r="BB25" s="245"/>
      <c r="BC25" s="245" t="e">
        <f t="shared" si="5"/>
        <v>#DIV/0!</v>
      </c>
      <c r="BD25" s="245" t="e">
        <f t="shared" si="6"/>
        <v>#DIV/0!</v>
      </c>
      <c r="BE25" s="245"/>
      <c r="BF25" s="235">
        <v>99</v>
      </c>
      <c r="BG25" s="245"/>
      <c r="BH25" s="245" t="e">
        <f t="shared" si="7"/>
        <v>#DIV/0!</v>
      </c>
      <c r="BI25" s="245" t="e">
        <f t="shared" si="7"/>
        <v>#DIV/0!</v>
      </c>
      <c r="BJ25" s="247" t="e">
        <f t="shared" si="8"/>
        <v>#DIV/0!</v>
      </c>
      <c r="BK25" s="59">
        <v>90</v>
      </c>
    </row>
    <row r="26" spans="1:63" ht="18.75" customHeight="1">
      <c r="A26" s="147">
        <v>23</v>
      </c>
      <c r="B26" s="135" t="str">
        <f>VLOOKUP(A26,緊急聯絡!A$2:C$27,3,0)</f>
        <v>張涵甯</v>
      </c>
      <c r="C26" s="245"/>
      <c r="D26" s="245"/>
      <c r="E26" s="245"/>
      <c r="F26" s="245"/>
      <c r="G26" s="245"/>
      <c r="H26" s="245"/>
      <c r="I26" s="245"/>
      <c r="J26" s="245" t="e">
        <f t="shared" si="0"/>
        <v>#DIV/0!</v>
      </c>
      <c r="K26" s="245"/>
      <c r="L26" s="245"/>
      <c r="M26" s="245"/>
      <c r="N26" s="245"/>
      <c r="O26" s="245"/>
      <c r="P26" s="245"/>
      <c r="Q26" s="245"/>
      <c r="R26" s="245" t="e">
        <f t="shared" si="1"/>
        <v>#DIV/0!</v>
      </c>
      <c r="S26" s="243">
        <v>91</v>
      </c>
      <c r="T26" s="245">
        <v>83</v>
      </c>
      <c r="U26" s="245">
        <v>77</v>
      </c>
      <c r="V26" s="245">
        <v>74</v>
      </c>
      <c r="W26" s="245">
        <v>80</v>
      </c>
      <c r="X26" s="245">
        <v>91</v>
      </c>
      <c r="Y26" s="245">
        <v>77</v>
      </c>
      <c r="Z26" s="245"/>
      <c r="AA26" s="245"/>
      <c r="AB26" s="245"/>
      <c r="AC26" s="245">
        <f t="shared" si="2"/>
        <v>81.857142857142861</v>
      </c>
      <c r="AD26" s="245"/>
      <c r="AE26" s="245"/>
      <c r="AF26" s="245"/>
      <c r="AG26" s="245"/>
      <c r="AH26" s="245"/>
      <c r="AI26" s="245"/>
      <c r="AJ26" s="245"/>
      <c r="AK26" s="245"/>
      <c r="AL26" s="245"/>
      <c r="AM26" s="245" t="e">
        <f t="shared" si="3"/>
        <v>#DIV/0!</v>
      </c>
      <c r="AN26" s="245"/>
      <c r="AO26" s="245"/>
      <c r="AP26" s="245"/>
      <c r="AQ26" s="245"/>
      <c r="AR26" s="245"/>
      <c r="AS26" s="245"/>
      <c r="AT26" s="245"/>
      <c r="AU26" s="245" t="e">
        <f t="shared" si="4"/>
        <v>#DIV/0!</v>
      </c>
      <c r="AV26" s="245"/>
      <c r="AW26" s="245"/>
      <c r="AX26" s="245"/>
      <c r="AY26" s="245"/>
      <c r="AZ26" s="245"/>
      <c r="BA26" s="245"/>
      <c r="BB26" s="245"/>
      <c r="BC26" s="245" t="e">
        <f t="shared" si="5"/>
        <v>#DIV/0!</v>
      </c>
      <c r="BD26" s="245" t="e">
        <f t="shared" si="6"/>
        <v>#DIV/0!</v>
      </c>
      <c r="BE26" s="245"/>
      <c r="BF26" s="235">
        <v>96</v>
      </c>
      <c r="BG26" s="245"/>
      <c r="BH26" s="245" t="e">
        <f t="shared" si="7"/>
        <v>#DIV/0!</v>
      </c>
      <c r="BI26" s="245" t="e">
        <f t="shared" si="7"/>
        <v>#DIV/0!</v>
      </c>
      <c r="BJ26" s="247" t="e">
        <f t="shared" si="8"/>
        <v>#DIV/0!</v>
      </c>
      <c r="BK26" s="59">
        <v>85</v>
      </c>
    </row>
    <row r="27" spans="1:63" ht="18.75" customHeight="1">
      <c r="A27" s="147">
        <v>24</v>
      </c>
      <c r="B27" s="135" t="str">
        <f>VLOOKUP(A27,緊急聯絡!A$2:C$27,3,0)</f>
        <v>王姿涵</v>
      </c>
      <c r="C27" s="245"/>
      <c r="D27" s="245"/>
      <c r="E27" s="245"/>
      <c r="F27" s="245"/>
      <c r="G27" s="245"/>
      <c r="H27" s="245"/>
      <c r="I27" s="245"/>
      <c r="J27" s="245" t="e">
        <f t="shared" si="0"/>
        <v>#DIV/0!</v>
      </c>
      <c r="K27" s="245"/>
      <c r="L27" s="245"/>
      <c r="M27" s="245"/>
      <c r="N27" s="245"/>
      <c r="O27" s="245"/>
      <c r="P27" s="245"/>
      <c r="Q27" s="245"/>
      <c r="R27" s="245" t="e">
        <f t="shared" si="1"/>
        <v>#DIV/0!</v>
      </c>
      <c r="S27" s="243">
        <v>93</v>
      </c>
      <c r="T27" s="245">
        <v>94</v>
      </c>
      <c r="U27" s="245">
        <v>92</v>
      </c>
      <c r="V27" s="245">
        <v>87</v>
      </c>
      <c r="W27" s="245">
        <v>90</v>
      </c>
      <c r="X27" s="245">
        <v>89</v>
      </c>
      <c r="Y27" s="245">
        <v>82</v>
      </c>
      <c r="Z27" s="245"/>
      <c r="AA27" s="245"/>
      <c r="AB27" s="245"/>
      <c r="AC27" s="245">
        <f t="shared" si="2"/>
        <v>89.571428571428569</v>
      </c>
      <c r="AD27" s="245"/>
      <c r="AE27" s="245"/>
      <c r="AF27" s="245"/>
      <c r="AG27" s="245"/>
      <c r="AH27" s="245"/>
      <c r="AI27" s="245"/>
      <c r="AJ27" s="245"/>
      <c r="AK27" s="245"/>
      <c r="AL27" s="245"/>
      <c r="AM27" s="245" t="e">
        <f t="shared" si="3"/>
        <v>#DIV/0!</v>
      </c>
      <c r="AN27" s="245"/>
      <c r="AO27" s="245"/>
      <c r="AP27" s="245"/>
      <c r="AQ27" s="245"/>
      <c r="AR27" s="245"/>
      <c r="AS27" s="245"/>
      <c r="AT27" s="245"/>
      <c r="AU27" s="245" t="e">
        <f t="shared" si="4"/>
        <v>#DIV/0!</v>
      </c>
      <c r="AV27" s="245"/>
      <c r="AW27" s="245"/>
      <c r="AX27" s="245"/>
      <c r="AY27" s="245"/>
      <c r="AZ27" s="245"/>
      <c r="BA27" s="245"/>
      <c r="BB27" s="245"/>
      <c r="BC27" s="245" t="e">
        <f t="shared" si="5"/>
        <v>#DIV/0!</v>
      </c>
      <c r="BD27" s="245" t="e">
        <f t="shared" si="6"/>
        <v>#DIV/0!</v>
      </c>
      <c r="BE27" s="245"/>
      <c r="BF27" s="235">
        <v>94</v>
      </c>
      <c r="BG27" s="245"/>
      <c r="BH27" s="245" t="e">
        <f t="shared" ref="BH27:BI29" si="9">AVERAGE(BD27,BF27)</f>
        <v>#DIV/0!</v>
      </c>
      <c r="BI27" s="245" t="e">
        <f t="shared" si="9"/>
        <v>#DIV/0!</v>
      </c>
      <c r="BJ27" s="247" t="e">
        <f t="shared" si="8"/>
        <v>#DIV/0!</v>
      </c>
      <c r="BK27" s="59">
        <v>85</v>
      </c>
    </row>
    <row r="28" spans="1:63" ht="18.75" customHeight="1">
      <c r="A28" s="147">
        <v>25</v>
      </c>
      <c r="B28" s="135" t="str">
        <f>VLOOKUP(A28,緊急聯絡!A$2:C$27,3,0)</f>
        <v>林昱萱</v>
      </c>
      <c r="C28" s="245"/>
      <c r="D28" s="245"/>
      <c r="E28" s="245"/>
      <c r="F28" s="245"/>
      <c r="G28" s="245"/>
      <c r="H28" s="245"/>
      <c r="I28" s="245"/>
      <c r="J28" s="245" t="e">
        <f t="shared" si="0"/>
        <v>#DIV/0!</v>
      </c>
      <c r="K28" s="245"/>
      <c r="L28" s="245"/>
      <c r="M28" s="245"/>
      <c r="N28" s="245"/>
      <c r="O28" s="245"/>
      <c r="P28" s="245"/>
      <c r="Q28" s="245"/>
      <c r="R28" s="245" t="e">
        <f t="shared" si="1"/>
        <v>#DIV/0!</v>
      </c>
      <c r="S28" s="243">
        <v>100</v>
      </c>
      <c r="T28" s="245">
        <v>91</v>
      </c>
      <c r="U28" s="245">
        <v>90</v>
      </c>
      <c r="V28" s="245">
        <v>93</v>
      </c>
      <c r="W28" s="245">
        <v>94</v>
      </c>
      <c r="X28" s="245">
        <v>99</v>
      </c>
      <c r="Y28" s="245">
        <v>91</v>
      </c>
      <c r="Z28" s="245"/>
      <c r="AA28" s="245"/>
      <c r="AB28" s="245"/>
      <c r="AC28" s="245">
        <f t="shared" si="2"/>
        <v>94</v>
      </c>
      <c r="AD28" s="245"/>
      <c r="AE28" s="245"/>
      <c r="AF28" s="245"/>
      <c r="AG28" s="245"/>
      <c r="AH28" s="245"/>
      <c r="AI28" s="245"/>
      <c r="AJ28" s="245"/>
      <c r="AK28" s="245"/>
      <c r="AL28" s="245"/>
      <c r="AM28" s="245" t="e">
        <f t="shared" si="3"/>
        <v>#DIV/0!</v>
      </c>
      <c r="AN28" s="245"/>
      <c r="AO28" s="245"/>
      <c r="AP28" s="245"/>
      <c r="AQ28" s="245"/>
      <c r="AR28" s="245"/>
      <c r="AS28" s="245"/>
      <c r="AT28" s="245"/>
      <c r="AU28" s="245" t="e">
        <f t="shared" si="4"/>
        <v>#DIV/0!</v>
      </c>
      <c r="AV28" s="245"/>
      <c r="AW28" s="245"/>
      <c r="AX28" s="245"/>
      <c r="AY28" s="245"/>
      <c r="AZ28" s="245"/>
      <c r="BA28" s="245"/>
      <c r="BB28" s="245"/>
      <c r="BC28" s="245" t="e">
        <f t="shared" si="5"/>
        <v>#DIV/0!</v>
      </c>
      <c r="BD28" s="245" t="e">
        <f t="shared" si="6"/>
        <v>#DIV/0!</v>
      </c>
      <c r="BE28" s="245"/>
      <c r="BF28" s="235">
        <v>70</v>
      </c>
      <c r="BG28" s="245"/>
      <c r="BH28" s="245" t="e">
        <f t="shared" si="9"/>
        <v>#DIV/0!</v>
      </c>
      <c r="BI28" s="245" t="e">
        <f t="shared" si="9"/>
        <v>#DIV/0!</v>
      </c>
      <c r="BJ28" s="247" t="e">
        <f t="shared" si="8"/>
        <v>#DIV/0!</v>
      </c>
      <c r="BK28" s="59">
        <v>80</v>
      </c>
    </row>
    <row r="29" spans="1:63" ht="18.75" customHeight="1">
      <c r="A29" s="147">
        <v>26</v>
      </c>
      <c r="B29" s="135" t="str">
        <f>VLOOKUP(A29,緊急聯絡!A$2:C$27,3,0)</f>
        <v>李文</v>
      </c>
      <c r="C29" s="245"/>
      <c r="D29" s="245"/>
      <c r="E29" s="245"/>
      <c r="F29" s="245"/>
      <c r="G29" s="245"/>
      <c r="H29" s="245"/>
      <c r="I29" s="245"/>
      <c r="J29" s="245" t="e">
        <f t="shared" si="0"/>
        <v>#DIV/0!</v>
      </c>
      <c r="K29" s="245"/>
      <c r="L29" s="245"/>
      <c r="M29" s="245"/>
      <c r="N29" s="245"/>
      <c r="O29" s="245"/>
      <c r="P29" s="245"/>
      <c r="Q29" s="245"/>
      <c r="R29" s="245" t="e">
        <f t="shared" si="1"/>
        <v>#DIV/0!</v>
      </c>
      <c r="S29" s="243">
        <v>92</v>
      </c>
      <c r="T29" s="245">
        <v>78</v>
      </c>
      <c r="U29" s="245">
        <v>88</v>
      </c>
      <c r="V29" s="245">
        <v>78</v>
      </c>
      <c r="W29" s="245">
        <v>84</v>
      </c>
      <c r="X29" s="245">
        <v>81</v>
      </c>
      <c r="Y29" s="245">
        <v>68</v>
      </c>
      <c r="Z29" s="245"/>
      <c r="AA29" s="245"/>
      <c r="AB29" s="245"/>
      <c r="AC29" s="245">
        <f t="shared" si="2"/>
        <v>81.285714285714292</v>
      </c>
      <c r="AD29" s="245"/>
      <c r="AE29" s="245"/>
      <c r="AF29" s="245"/>
      <c r="AG29" s="245"/>
      <c r="AH29" s="245"/>
      <c r="AI29" s="245"/>
      <c r="AJ29" s="245"/>
      <c r="AK29" s="245"/>
      <c r="AL29" s="245"/>
      <c r="AM29" s="245" t="e">
        <f t="shared" si="3"/>
        <v>#DIV/0!</v>
      </c>
      <c r="AN29" s="245"/>
      <c r="AO29" s="245"/>
      <c r="AP29" s="245"/>
      <c r="AQ29" s="245"/>
      <c r="AR29" s="245"/>
      <c r="AS29" s="245"/>
      <c r="AT29" s="245"/>
      <c r="AU29" s="245" t="e">
        <f t="shared" si="4"/>
        <v>#DIV/0!</v>
      </c>
      <c r="AV29" s="245"/>
      <c r="AW29" s="245"/>
      <c r="AX29" s="245"/>
      <c r="AY29" s="245"/>
      <c r="AZ29" s="245"/>
      <c r="BA29" s="245"/>
      <c r="BB29" s="245"/>
      <c r="BC29" s="245" t="e">
        <f t="shared" si="5"/>
        <v>#DIV/0!</v>
      </c>
      <c r="BD29" s="245" t="e">
        <f t="shared" si="6"/>
        <v>#DIV/0!</v>
      </c>
      <c r="BE29" s="245"/>
      <c r="BF29" s="235">
        <v>95</v>
      </c>
      <c r="BG29" s="245"/>
      <c r="BH29" s="245" t="e">
        <f t="shared" si="9"/>
        <v>#DIV/0!</v>
      </c>
      <c r="BI29" s="245" t="e">
        <f t="shared" si="9"/>
        <v>#DIV/0!</v>
      </c>
      <c r="BJ29" s="247" t="e">
        <f t="shared" si="8"/>
        <v>#DIV/0!</v>
      </c>
      <c r="BK29" s="59">
        <v>88</v>
      </c>
    </row>
    <row r="30" spans="1:63" ht="18.75" customHeight="1">
      <c r="A30" s="151"/>
      <c r="B30" s="13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3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35"/>
      <c r="BG30" s="245"/>
      <c r="BH30" s="245"/>
      <c r="BI30" s="245"/>
      <c r="BJ30" s="247"/>
    </row>
    <row r="31" spans="1:63" ht="18.75" customHeight="1" thickBot="1">
      <c r="A31" s="150"/>
      <c r="B31" s="142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9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116"/>
      <c r="BG31" s="248"/>
      <c r="BH31" s="248"/>
      <c r="BI31" s="248"/>
      <c r="BJ31" s="250"/>
    </row>
    <row r="32" spans="1:63" ht="18.75" customHeight="1" thickTop="1">
      <c r="A32" s="60"/>
      <c r="B32" s="61" t="s">
        <v>214</v>
      </c>
      <c r="C32" s="60" t="e">
        <f>AVERAGE(C4:C30)</f>
        <v>#DIV/0!</v>
      </c>
      <c r="D32" s="60" t="e">
        <f t="shared" ref="D32:J32" si="10">AVERAGE(D4:D26)</f>
        <v>#DIV/0!</v>
      </c>
      <c r="E32" s="60" t="e">
        <f t="shared" si="10"/>
        <v>#DIV/0!</v>
      </c>
      <c r="F32" s="60" t="e">
        <f t="shared" si="10"/>
        <v>#DIV/0!</v>
      </c>
      <c r="G32" s="60" t="e">
        <f t="shared" si="10"/>
        <v>#DIV/0!</v>
      </c>
      <c r="H32" s="60" t="e">
        <f t="shared" si="10"/>
        <v>#DIV/0!</v>
      </c>
      <c r="I32" s="60" t="e">
        <f t="shared" si="10"/>
        <v>#DIV/0!</v>
      </c>
      <c r="J32" s="60" t="e">
        <f t="shared" si="10"/>
        <v>#DIV/0!</v>
      </c>
      <c r="K32" s="60" t="e">
        <f>AVERAGE(K4:K30)</f>
        <v>#DIV/0!</v>
      </c>
      <c r="L32" s="60" t="e">
        <f t="shared" ref="L32:AT32" si="11">AVERAGE(L4:L26)</f>
        <v>#DIV/0!</v>
      </c>
      <c r="M32" s="60" t="e">
        <f t="shared" si="11"/>
        <v>#DIV/0!</v>
      </c>
      <c r="N32" s="60" t="e">
        <f t="shared" si="11"/>
        <v>#DIV/0!</v>
      </c>
      <c r="O32" s="60" t="e">
        <f t="shared" si="11"/>
        <v>#DIV/0!</v>
      </c>
      <c r="P32" s="60" t="e">
        <f t="shared" si="11"/>
        <v>#DIV/0!</v>
      </c>
      <c r="Q32" s="60" t="e">
        <f t="shared" si="11"/>
        <v>#DIV/0!</v>
      </c>
      <c r="R32" s="60" t="e">
        <f t="shared" si="11"/>
        <v>#DIV/0!</v>
      </c>
      <c r="S32" s="60">
        <f t="shared" si="11"/>
        <v>88.043478260869563</v>
      </c>
      <c r="T32" s="60">
        <f t="shared" si="11"/>
        <v>87.217391304347828</v>
      </c>
      <c r="U32" s="60">
        <f t="shared" si="11"/>
        <v>86.391304347826093</v>
      </c>
      <c r="V32" s="60">
        <f t="shared" si="11"/>
        <v>82.304347826086953</v>
      </c>
      <c r="W32" s="60">
        <f t="shared" si="11"/>
        <v>84.652173913043484</v>
      </c>
      <c r="X32" s="60">
        <f t="shared" si="11"/>
        <v>88.13636363636364</v>
      </c>
      <c r="Y32" s="60">
        <f t="shared" si="11"/>
        <v>86.681818181818187</v>
      </c>
      <c r="Z32" s="60" t="e">
        <f t="shared" si="11"/>
        <v>#DIV/0!</v>
      </c>
      <c r="AA32" s="60" t="e">
        <f t="shared" si="11"/>
        <v>#DIV/0!</v>
      </c>
      <c r="AB32" s="60" t="e">
        <f t="shared" si="11"/>
        <v>#DIV/0!</v>
      </c>
      <c r="AC32" s="60">
        <f t="shared" si="11"/>
        <v>86.139751552795019</v>
      </c>
      <c r="AD32" s="60" t="e">
        <f t="shared" si="11"/>
        <v>#DIV/0!</v>
      </c>
      <c r="AE32" s="60" t="e">
        <f t="shared" si="11"/>
        <v>#DIV/0!</v>
      </c>
      <c r="AF32" s="60" t="e">
        <f t="shared" si="11"/>
        <v>#DIV/0!</v>
      </c>
      <c r="AG32" s="60" t="e">
        <f t="shared" si="11"/>
        <v>#DIV/0!</v>
      </c>
      <c r="AH32" s="60" t="e">
        <f t="shared" si="11"/>
        <v>#DIV/0!</v>
      </c>
      <c r="AI32" s="60" t="e">
        <f t="shared" si="11"/>
        <v>#DIV/0!</v>
      </c>
      <c r="AJ32" s="60" t="e">
        <f t="shared" si="11"/>
        <v>#DIV/0!</v>
      </c>
      <c r="AK32" s="60" t="e">
        <f t="shared" si="11"/>
        <v>#DIV/0!</v>
      </c>
      <c r="AL32" s="60" t="e">
        <f t="shared" si="11"/>
        <v>#DIV/0!</v>
      </c>
      <c r="AM32" s="60" t="e">
        <f t="shared" si="11"/>
        <v>#DIV/0!</v>
      </c>
      <c r="AN32" s="60" t="e">
        <f t="shared" si="11"/>
        <v>#DIV/0!</v>
      </c>
      <c r="AO32" s="60" t="e">
        <f t="shared" si="11"/>
        <v>#DIV/0!</v>
      </c>
      <c r="AP32" s="60" t="e">
        <f t="shared" si="11"/>
        <v>#DIV/0!</v>
      </c>
      <c r="AQ32" s="60" t="e">
        <f t="shared" si="11"/>
        <v>#DIV/0!</v>
      </c>
      <c r="AR32" s="60" t="e">
        <f t="shared" si="11"/>
        <v>#DIV/0!</v>
      </c>
      <c r="AS32" s="60" t="e">
        <f t="shared" si="11"/>
        <v>#DIV/0!</v>
      </c>
      <c r="AT32" s="60" t="e">
        <f t="shared" si="11"/>
        <v>#DIV/0!</v>
      </c>
      <c r="AU32" s="60" t="e">
        <f t="shared" ref="AU32:BJ32" si="12">AVERAGE(AU4:AU26)</f>
        <v>#DIV/0!</v>
      </c>
      <c r="AV32" s="60" t="e">
        <f t="shared" si="12"/>
        <v>#DIV/0!</v>
      </c>
      <c r="AW32" s="60" t="e">
        <f t="shared" si="12"/>
        <v>#DIV/0!</v>
      </c>
      <c r="AX32" s="60" t="e">
        <f t="shared" si="12"/>
        <v>#DIV/0!</v>
      </c>
      <c r="AY32" s="60" t="e">
        <f t="shared" si="12"/>
        <v>#DIV/0!</v>
      </c>
      <c r="AZ32" s="60" t="e">
        <f t="shared" si="12"/>
        <v>#DIV/0!</v>
      </c>
      <c r="BA32" s="60" t="e">
        <f t="shared" si="12"/>
        <v>#DIV/0!</v>
      </c>
      <c r="BB32" s="60" t="e">
        <f t="shared" si="12"/>
        <v>#DIV/0!</v>
      </c>
      <c r="BC32" s="60" t="e">
        <f t="shared" si="12"/>
        <v>#DIV/0!</v>
      </c>
      <c r="BD32" s="60" t="e">
        <f t="shared" si="12"/>
        <v>#DIV/0!</v>
      </c>
      <c r="BE32" s="60" t="e">
        <f t="shared" si="12"/>
        <v>#DIV/0!</v>
      </c>
      <c r="BF32" s="60">
        <f t="shared" si="12"/>
        <v>91.652173913043484</v>
      </c>
      <c r="BG32" s="60" t="e">
        <f t="shared" si="12"/>
        <v>#DIV/0!</v>
      </c>
      <c r="BH32" s="60" t="e">
        <f t="shared" si="12"/>
        <v>#DIV/0!</v>
      </c>
      <c r="BI32" s="60" t="e">
        <f t="shared" si="12"/>
        <v>#DIV/0!</v>
      </c>
      <c r="BJ32" s="60" t="e">
        <f t="shared" si="12"/>
        <v>#DIV/0!</v>
      </c>
      <c r="BK32" s="60">
        <f>AVERAGE(BK4:BK26)</f>
        <v>87.318181818181813</v>
      </c>
    </row>
    <row r="33" spans="2:62">
      <c r="B33" s="59">
        <v>100</v>
      </c>
      <c r="C33" s="59">
        <f t="shared" ref="C33:AH33" si="13">COUNTIF(C$4:C$31,"=100")</f>
        <v>0</v>
      </c>
      <c r="D33" s="59">
        <f t="shared" si="13"/>
        <v>0</v>
      </c>
      <c r="E33" s="59">
        <f t="shared" si="13"/>
        <v>0</v>
      </c>
      <c r="F33" s="59">
        <f t="shared" si="13"/>
        <v>0</v>
      </c>
      <c r="G33" s="59">
        <f t="shared" si="13"/>
        <v>0</v>
      </c>
      <c r="H33" s="59">
        <f t="shared" si="13"/>
        <v>0</v>
      </c>
      <c r="I33" s="59">
        <f t="shared" si="13"/>
        <v>0</v>
      </c>
      <c r="J33" s="59">
        <f t="shared" si="13"/>
        <v>0</v>
      </c>
      <c r="K33" s="59">
        <f t="shared" si="13"/>
        <v>0</v>
      </c>
      <c r="L33" s="59">
        <f t="shared" si="13"/>
        <v>0</v>
      </c>
      <c r="M33" s="59">
        <f t="shared" si="13"/>
        <v>0</v>
      </c>
      <c r="N33" s="59">
        <f t="shared" si="13"/>
        <v>0</v>
      </c>
      <c r="O33" s="59">
        <f t="shared" si="13"/>
        <v>0</v>
      </c>
      <c r="P33" s="59">
        <f t="shared" si="13"/>
        <v>0</v>
      </c>
      <c r="Q33" s="59">
        <f t="shared" si="13"/>
        <v>0</v>
      </c>
      <c r="R33" s="59">
        <f t="shared" si="13"/>
        <v>0</v>
      </c>
      <c r="S33" s="59">
        <f t="shared" si="13"/>
        <v>2</v>
      </c>
      <c r="T33" s="59">
        <f t="shared" si="13"/>
        <v>2</v>
      </c>
      <c r="U33" s="59">
        <f t="shared" si="13"/>
        <v>0</v>
      </c>
      <c r="V33" s="59">
        <f t="shared" si="13"/>
        <v>3</v>
      </c>
      <c r="W33" s="59">
        <f t="shared" si="13"/>
        <v>0</v>
      </c>
      <c r="X33" s="59">
        <f t="shared" si="13"/>
        <v>0</v>
      </c>
      <c r="Y33" s="59">
        <f t="shared" si="13"/>
        <v>1</v>
      </c>
      <c r="Z33" s="59">
        <f t="shared" si="13"/>
        <v>0</v>
      </c>
      <c r="AA33" s="59">
        <f t="shared" si="13"/>
        <v>0</v>
      </c>
      <c r="AB33" s="59">
        <f t="shared" si="13"/>
        <v>0</v>
      </c>
      <c r="AC33" s="59">
        <f t="shared" si="13"/>
        <v>0</v>
      </c>
      <c r="AD33" s="59">
        <f t="shared" si="13"/>
        <v>0</v>
      </c>
      <c r="AE33" s="59">
        <f t="shared" si="13"/>
        <v>0</v>
      </c>
      <c r="AF33" s="59">
        <f t="shared" si="13"/>
        <v>0</v>
      </c>
      <c r="AG33" s="59">
        <f t="shared" si="13"/>
        <v>0</v>
      </c>
      <c r="AH33" s="59">
        <f t="shared" si="13"/>
        <v>0</v>
      </c>
      <c r="AI33" s="59">
        <f t="shared" ref="AI33:BJ33" si="14">COUNTIF(AI$4:AI$31,"=100")</f>
        <v>0</v>
      </c>
      <c r="AJ33" s="59">
        <f t="shared" si="14"/>
        <v>0</v>
      </c>
      <c r="AK33" s="59">
        <f t="shared" si="14"/>
        <v>0</v>
      </c>
      <c r="AL33" s="59">
        <f t="shared" si="14"/>
        <v>0</v>
      </c>
      <c r="AM33" s="59">
        <f t="shared" si="14"/>
        <v>0</v>
      </c>
      <c r="AN33" s="59">
        <f t="shared" si="14"/>
        <v>0</v>
      </c>
      <c r="AO33" s="59">
        <f t="shared" si="14"/>
        <v>0</v>
      </c>
      <c r="AP33" s="59">
        <f t="shared" si="14"/>
        <v>0</v>
      </c>
      <c r="AQ33" s="59">
        <f t="shared" si="14"/>
        <v>0</v>
      </c>
      <c r="AR33" s="59">
        <f t="shared" si="14"/>
        <v>0</v>
      </c>
      <c r="AS33" s="59">
        <f t="shared" si="14"/>
        <v>0</v>
      </c>
      <c r="AT33" s="59">
        <f t="shared" si="14"/>
        <v>0</v>
      </c>
      <c r="AU33" s="59">
        <f t="shared" si="14"/>
        <v>0</v>
      </c>
      <c r="AV33" s="59">
        <f t="shared" si="14"/>
        <v>0</v>
      </c>
      <c r="AW33" s="59">
        <f t="shared" si="14"/>
        <v>0</v>
      </c>
      <c r="AX33" s="59">
        <f t="shared" si="14"/>
        <v>0</v>
      </c>
      <c r="AY33" s="59">
        <f t="shared" si="14"/>
        <v>0</v>
      </c>
      <c r="AZ33" s="59">
        <f t="shared" si="14"/>
        <v>0</v>
      </c>
      <c r="BA33" s="59">
        <f t="shared" si="14"/>
        <v>0</v>
      </c>
      <c r="BB33" s="59">
        <f t="shared" si="14"/>
        <v>0</v>
      </c>
      <c r="BC33" s="59">
        <f t="shared" si="14"/>
        <v>0</v>
      </c>
      <c r="BD33" s="59">
        <f t="shared" si="14"/>
        <v>0</v>
      </c>
      <c r="BE33" s="59">
        <f t="shared" si="14"/>
        <v>0</v>
      </c>
      <c r="BF33" s="59">
        <f t="shared" si="14"/>
        <v>0</v>
      </c>
      <c r="BG33" s="59">
        <f t="shared" si="14"/>
        <v>0</v>
      </c>
      <c r="BH33" s="59">
        <f t="shared" si="14"/>
        <v>0</v>
      </c>
      <c r="BI33" s="59">
        <f t="shared" si="14"/>
        <v>0</v>
      </c>
      <c r="BJ33" s="59">
        <f t="shared" si="14"/>
        <v>0</v>
      </c>
    </row>
    <row r="34" spans="2:62">
      <c r="B34" s="59">
        <v>90</v>
      </c>
      <c r="C34" s="59">
        <f t="shared" ref="C34:AH34" si="15">COUNTIF(C$4:C$31,"&gt;89")-C33</f>
        <v>0</v>
      </c>
      <c r="D34" s="59">
        <f t="shared" si="15"/>
        <v>0</v>
      </c>
      <c r="E34" s="59">
        <f t="shared" si="15"/>
        <v>0</v>
      </c>
      <c r="F34" s="59">
        <f t="shared" si="15"/>
        <v>0</v>
      </c>
      <c r="G34" s="59">
        <f t="shared" si="15"/>
        <v>0</v>
      </c>
      <c r="H34" s="59">
        <f t="shared" si="15"/>
        <v>0</v>
      </c>
      <c r="I34" s="59">
        <f t="shared" si="15"/>
        <v>0</v>
      </c>
      <c r="J34" s="59">
        <f t="shared" si="15"/>
        <v>0</v>
      </c>
      <c r="K34" s="59">
        <f t="shared" si="15"/>
        <v>0</v>
      </c>
      <c r="L34" s="59">
        <f t="shared" si="15"/>
        <v>0</v>
      </c>
      <c r="M34" s="59">
        <f t="shared" si="15"/>
        <v>0</v>
      </c>
      <c r="N34" s="59">
        <f t="shared" si="15"/>
        <v>0</v>
      </c>
      <c r="O34" s="59">
        <f t="shared" si="15"/>
        <v>0</v>
      </c>
      <c r="P34" s="59">
        <f t="shared" si="15"/>
        <v>0</v>
      </c>
      <c r="Q34" s="59">
        <f t="shared" si="15"/>
        <v>0</v>
      </c>
      <c r="R34" s="59">
        <f t="shared" si="15"/>
        <v>0</v>
      </c>
      <c r="S34" s="59">
        <f t="shared" si="15"/>
        <v>15</v>
      </c>
      <c r="T34" s="59">
        <f t="shared" si="15"/>
        <v>14</v>
      </c>
      <c r="U34" s="59">
        <f t="shared" si="15"/>
        <v>16</v>
      </c>
      <c r="V34" s="59">
        <f t="shared" si="15"/>
        <v>6</v>
      </c>
      <c r="W34" s="59">
        <f t="shared" si="15"/>
        <v>12</v>
      </c>
      <c r="X34" s="59">
        <f t="shared" si="15"/>
        <v>16</v>
      </c>
      <c r="Y34" s="59">
        <f t="shared" si="15"/>
        <v>11</v>
      </c>
      <c r="Z34" s="59">
        <f t="shared" si="15"/>
        <v>0</v>
      </c>
      <c r="AA34" s="59">
        <f t="shared" si="15"/>
        <v>0</v>
      </c>
      <c r="AB34" s="59">
        <f t="shared" si="15"/>
        <v>0</v>
      </c>
      <c r="AC34" s="59">
        <f t="shared" si="15"/>
        <v>14</v>
      </c>
      <c r="AD34" s="59">
        <f t="shared" si="15"/>
        <v>0</v>
      </c>
      <c r="AE34" s="59">
        <f t="shared" si="15"/>
        <v>0</v>
      </c>
      <c r="AF34" s="59">
        <f t="shared" si="15"/>
        <v>0</v>
      </c>
      <c r="AG34" s="59">
        <f t="shared" si="15"/>
        <v>0</v>
      </c>
      <c r="AH34" s="59">
        <f t="shared" si="15"/>
        <v>0</v>
      </c>
      <c r="AI34" s="59">
        <f t="shared" ref="AI34:BJ34" si="16">COUNTIF(AI$4:AI$31,"&gt;89")-AI33</f>
        <v>0</v>
      </c>
      <c r="AJ34" s="59">
        <f t="shared" si="16"/>
        <v>0</v>
      </c>
      <c r="AK34" s="59">
        <f t="shared" si="16"/>
        <v>0</v>
      </c>
      <c r="AL34" s="59">
        <f t="shared" si="16"/>
        <v>0</v>
      </c>
      <c r="AM34" s="59">
        <f t="shared" si="16"/>
        <v>0</v>
      </c>
      <c r="AN34" s="59">
        <f t="shared" si="16"/>
        <v>0</v>
      </c>
      <c r="AO34" s="59">
        <f t="shared" si="16"/>
        <v>0</v>
      </c>
      <c r="AP34" s="59">
        <f t="shared" si="16"/>
        <v>0</v>
      </c>
      <c r="AQ34" s="59">
        <f t="shared" si="16"/>
        <v>0</v>
      </c>
      <c r="AR34" s="59">
        <f t="shared" si="16"/>
        <v>0</v>
      </c>
      <c r="AS34" s="59">
        <f t="shared" si="16"/>
        <v>0</v>
      </c>
      <c r="AT34" s="59">
        <f t="shared" si="16"/>
        <v>0</v>
      </c>
      <c r="AU34" s="59">
        <f t="shared" si="16"/>
        <v>0</v>
      </c>
      <c r="AV34" s="59">
        <f t="shared" si="16"/>
        <v>0</v>
      </c>
      <c r="AW34" s="59">
        <f t="shared" si="16"/>
        <v>0</v>
      </c>
      <c r="AX34" s="59">
        <f t="shared" si="16"/>
        <v>0</v>
      </c>
      <c r="AY34" s="59">
        <f t="shared" si="16"/>
        <v>0</v>
      </c>
      <c r="AZ34" s="59">
        <f t="shared" si="16"/>
        <v>0</v>
      </c>
      <c r="BA34" s="59">
        <f t="shared" si="16"/>
        <v>0</v>
      </c>
      <c r="BB34" s="59">
        <f t="shared" si="16"/>
        <v>0</v>
      </c>
      <c r="BC34" s="59">
        <f t="shared" si="16"/>
        <v>0</v>
      </c>
      <c r="BD34" s="59">
        <f t="shared" si="16"/>
        <v>0</v>
      </c>
      <c r="BE34" s="59">
        <f t="shared" si="16"/>
        <v>0</v>
      </c>
      <c r="BF34" s="59">
        <f t="shared" si="16"/>
        <v>18</v>
      </c>
      <c r="BG34" s="59">
        <f t="shared" si="16"/>
        <v>0</v>
      </c>
      <c r="BH34" s="59">
        <f t="shared" si="16"/>
        <v>0</v>
      </c>
      <c r="BI34" s="59">
        <f t="shared" si="16"/>
        <v>0</v>
      </c>
      <c r="BJ34" s="59">
        <f t="shared" si="16"/>
        <v>0</v>
      </c>
    </row>
    <row r="35" spans="2:62">
      <c r="B35" s="59">
        <v>80</v>
      </c>
      <c r="C35" s="59">
        <f t="shared" ref="C35:AH35" si="17">COUNTIF(C$4:C$31,"&gt;79")-C34-C33</f>
        <v>0</v>
      </c>
      <c r="D35" s="59">
        <f t="shared" si="17"/>
        <v>0</v>
      </c>
      <c r="E35" s="59">
        <f t="shared" si="17"/>
        <v>0</v>
      </c>
      <c r="F35" s="59">
        <f t="shared" si="17"/>
        <v>0</v>
      </c>
      <c r="G35" s="59">
        <f t="shared" si="17"/>
        <v>0</v>
      </c>
      <c r="H35" s="59">
        <f t="shared" si="17"/>
        <v>0</v>
      </c>
      <c r="I35" s="59">
        <f t="shared" si="17"/>
        <v>0</v>
      </c>
      <c r="J35" s="59">
        <f t="shared" si="17"/>
        <v>0</v>
      </c>
      <c r="K35" s="59">
        <f t="shared" si="17"/>
        <v>0</v>
      </c>
      <c r="L35" s="59">
        <f t="shared" si="17"/>
        <v>0</v>
      </c>
      <c r="M35" s="59">
        <f t="shared" si="17"/>
        <v>0</v>
      </c>
      <c r="N35" s="59">
        <f t="shared" si="17"/>
        <v>0</v>
      </c>
      <c r="O35" s="59">
        <f t="shared" si="17"/>
        <v>0</v>
      </c>
      <c r="P35" s="59">
        <f t="shared" si="17"/>
        <v>0</v>
      </c>
      <c r="Q35" s="59">
        <f t="shared" si="17"/>
        <v>0</v>
      </c>
      <c r="R35" s="59">
        <f t="shared" si="17"/>
        <v>0</v>
      </c>
      <c r="S35" s="59">
        <f t="shared" si="17"/>
        <v>6</v>
      </c>
      <c r="T35" s="59">
        <f t="shared" si="17"/>
        <v>7</v>
      </c>
      <c r="U35" s="59">
        <f t="shared" si="17"/>
        <v>6</v>
      </c>
      <c r="V35" s="59">
        <f t="shared" si="17"/>
        <v>10</v>
      </c>
      <c r="W35" s="59">
        <f t="shared" si="17"/>
        <v>11</v>
      </c>
      <c r="X35" s="59">
        <f t="shared" si="17"/>
        <v>7</v>
      </c>
      <c r="Y35" s="59">
        <f t="shared" si="17"/>
        <v>8</v>
      </c>
      <c r="Z35" s="59">
        <f t="shared" si="17"/>
        <v>0</v>
      </c>
      <c r="AA35" s="59">
        <f t="shared" si="17"/>
        <v>0</v>
      </c>
      <c r="AB35" s="59">
        <f t="shared" si="17"/>
        <v>0</v>
      </c>
      <c r="AC35" s="59">
        <f t="shared" si="17"/>
        <v>9</v>
      </c>
      <c r="AD35" s="59">
        <f t="shared" si="17"/>
        <v>0</v>
      </c>
      <c r="AE35" s="59">
        <f t="shared" si="17"/>
        <v>0</v>
      </c>
      <c r="AF35" s="59">
        <f t="shared" si="17"/>
        <v>0</v>
      </c>
      <c r="AG35" s="59">
        <f t="shared" si="17"/>
        <v>0</v>
      </c>
      <c r="AH35" s="59">
        <f t="shared" si="17"/>
        <v>0</v>
      </c>
      <c r="AI35" s="59">
        <f t="shared" ref="AI35:BJ35" si="18">COUNTIF(AI$4:AI$31,"&gt;79")-AI34-AI33</f>
        <v>0</v>
      </c>
      <c r="AJ35" s="59">
        <f t="shared" si="18"/>
        <v>0</v>
      </c>
      <c r="AK35" s="59">
        <f t="shared" si="18"/>
        <v>0</v>
      </c>
      <c r="AL35" s="59">
        <f t="shared" si="18"/>
        <v>0</v>
      </c>
      <c r="AM35" s="59">
        <f t="shared" si="18"/>
        <v>0</v>
      </c>
      <c r="AN35" s="59">
        <f t="shared" si="18"/>
        <v>0</v>
      </c>
      <c r="AO35" s="59">
        <f t="shared" si="18"/>
        <v>0</v>
      </c>
      <c r="AP35" s="59">
        <f t="shared" si="18"/>
        <v>0</v>
      </c>
      <c r="AQ35" s="59">
        <f t="shared" si="18"/>
        <v>0</v>
      </c>
      <c r="AR35" s="59">
        <f t="shared" si="18"/>
        <v>0</v>
      </c>
      <c r="AS35" s="59">
        <f t="shared" si="18"/>
        <v>0</v>
      </c>
      <c r="AT35" s="59">
        <f t="shared" si="18"/>
        <v>0</v>
      </c>
      <c r="AU35" s="59">
        <f t="shared" si="18"/>
        <v>0</v>
      </c>
      <c r="AV35" s="59">
        <f t="shared" si="18"/>
        <v>0</v>
      </c>
      <c r="AW35" s="59">
        <f t="shared" si="18"/>
        <v>0</v>
      </c>
      <c r="AX35" s="59">
        <f t="shared" si="18"/>
        <v>0</v>
      </c>
      <c r="AY35" s="59">
        <f t="shared" si="18"/>
        <v>0</v>
      </c>
      <c r="AZ35" s="59">
        <f t="shared" si="18"/>
        <v>0</v>
      </c>
      <c r="BA35" s="59">
        <f t="shared" si="18"/>
        <v>0</v>
      </c>
      <c r="BB35" s="59">
        <f t="shared" si="18"/>
        <v>0</v>
      </c>
      <c r="BC35" s="59">
        <f t="shared" si="18"/>
        <v>0</v>
      </c>
      <c r="BD35" s="59">
        <f t="shared" si="18"/>
        <v>0</v>
      </c>
      <c r="BE35" s="59">
        <f t="shared" si="18"/>
        <v>0</v>
      </c>
      <c r="BF35" s="59">
        <f t="shared" si="18"/>
        <v>5</v>
      </c>
      <c r="BG35" s="59">
        <f t="shared" si="18"/>
        <v>0</v>
      </c>
      <c r="BH35" s="59">
        <f t="shared" si="18"/>
        <v>0</v>
      </c>
      <c r="BI35" s="59">
        <f t="shared" si="18"/>
        <v>0</v>
      </c>
      <c r="BJ35" s="59">
        <f t="shared" si="18"/>
        <v>0</v>
      </c>
    </row>
    <row r="36" spans="2:62">
      <c r="B36" s="59">
        <v>70</v>
      </c>
      <c r="C36" s="59">
        <f t="shared" ref="C36:AH36" si="19">COUNTIF(C$4:C$31,"&gt;69")-C35-C34-C33</f>
        <v>0</v>
      </c>
      <c r="D36" s="59">
        <f t="shared" si="19"/>
        <v>0</v>
      </c>
      <c r="E36" s="59">
        <f t="shared" si="19"/>
        <v>0</v>
      </c>
      <c r="F36" s="59">
        <f t="shared" si="19"/>
        <v>0</v>
      </c>
      <c r="G36" s="59">
        <f t="shared" si="19"/>
        <v>0</v>
      </c>
      <c r="H36" s="59">
        <f t="shared" si="19"/>
        <v>0</v>
      </c>
      <c r="I36" s="59">
        <f t="shared" si="19"/>
        <v>0</v>
      </c>
      <c r="J36" s="59">
        <f t="shared" si="19"/>
        <v>0</v>
      </c>
      <c r="K36" s="59">
        <f t="shared" si="19"/>
        <v>0</v>
      </c>
      <c r="L36" s="59">
        <f t="shared" si="19"/>
        <v>0</v>
      </c>
      <c r="M36" s="59">
        <f t="shared" si="19"/>
        <v>0</v>
      </c>
      <c r="N36" s="59">
        <f t="shared" si="19"/>
        <v>0</v>
      </c>
      <c r="O36" s="59">
        <f t="shared" si="19"/>
        <v>0</v>
      </c>
      <c r="P36" s="59">
        <f t="shared" si="19"/>
        <v>0</v>
      </c>
      <c r="Q36" s="59">
        <f t="shared" si="19"/>
        <v>0</v>
      </c>
      <c r="R36" s="59">
        <f t="shared" si="19"/>
        <v>0</v>
      </c>
      <c r="S36" s="59">
        <f t="shared" si="19"/>
        <v>1</v>
      </c>
      <c r="T36" s="59">
        <f t="shared" si="19"/>
        <v>2</v>
      </c>
      <c r="U36" s="59">
        <f t="shared" si="19"/>
        <v>3</v>
      </c>
      <c r="V36" s="59">
        <f t="shared" si="19"/>
        <v>5</v>
      </c>
      <c r="W36" s="59">
        <f t="shared" si="19"/>
        <v>2</v>
      </c>
      <c r="X36" s="59">
        <f t="shared" si="19"/>
        <v>0</v>
      </c>
      <c r="Y36" s="59">
        <f t="shared" si="19"/>
        <v>3</v>
      </c>
      <c r="Z36" s="59">
        <f t="shared" si="19"/>
        <v>0</v>
      </c>
      <c r="AA36" s="59">
        <f t="shared" si="19"/>
        <v>0</v>
      </c>
      <c r="AB36" s="59">
        <f t="shared" si="19"/>
        <v>0</v>
      </c>
      <c r="AC36" s="59">
        <f t="shared" si="19"/>
        <v>2</v>
      </c>
      <c r="AD36" s="59">
        <f t="shared" si="19"/>
        <v>0</v>
      </c>
      <c r="AE36" s="59">
        <f t="shared" si="19"/>
        <v>0</v>
      </c>
      <c r="AF36" s="59">
        <f t="shared" si="19"/>
        <v>0</v>
      </c>
      <c r="AG36" s="59">
        <f t="shared" si="19"/>
        <v>0</v>
      </c>
      <c r="AH36" s="59">
        <f t="shared" si="19"/>
        <v>0</v>
      </c>
      <c r="AI36" s="59">
        <f t="shared" ref="AI36:BJ36" si="20">COUNTIF(AI$4:AI$31,"&gt;69")-AI35-AI34-AI33</f>
        <v>0</v>
      </c>
      <c r="AJ36" s="59">
        <f t="shared" si="20"/>
        <v>0</v>
      </c>
      <c r="AK36" s="59">
        <f t="shared" si="20"/>
        <v>0</v>
      </c>
      <c r="AL36" s="59">
        <f t="shared" si="20"/>
        <v>0</v>
      </c>
      <c r="AM36" s="59">
        <f t="shared" si="20"/>
        <v>0</v>
      </c>
      <c r="AN36" s="59">
        <f t="shared" si="20"/>
        <v>0</v>
      </c>
      <c r="AO36" s="59">
        <f t="shared" si="20"/>
        <v>0</v>
      </c>
      <c r="AP36" s="59">
        <f t="shared" si="20"/>
        <v>0</v>
      </c>
      <c r="AQ36" s="59">
        <f t="shared" si="20"/>
        <v>0</v>
      </c>
      <c r="AR36" s="59">
        <f t="shared" si="20"/>
        <v>0</v>
      </c>
      <c r="AS36" s="59">
        <f t="shared" si="20"/>
        <v>0</v>
      </c>
      <c r="AT36" s="59">
        <f t="shared" si="20"/>
        <v>0</v>
      </c>
      <c r="AU36" s="59">
        <f t="shared" si="20"/>
        <v>0</v>
      </c>
      <c r="AV36" s="59">
        <f t="shared" si="20"/>
        <v>0</v>
      </c>
      <c r="AW36" s="59">
        <f t="shared" si="20"/>
        <v>0</v>
      </c>
      <c r="AX36" s="59">
        <f t="shared" si="20"/>
        <v>0</v>
      </c>
      <c r="AY36" s="59">
        <f t="shared" si="20"/>
        <v>0</v>
      </c>
      <c r="AZ36" s="59">
        <f t="shared" si="20"/>
        <v>0</v>
      </c>
      <c r="BA36" s="59">
        <f t="shared" si="20"/>
        <v>0</v>
      </c>
      <c r="BB36" s="59">
        <f t="shared" si="20"/>
        <v>0</v>
      </c>
      <c r="BC36" s="59">
        <f t="shared" si="20"/>
        <v>0</v>
      </c>
      <c r="BD36" s="59">
        <f t="shared" si="20"/>
        <v>0</v>
      </c>
      <c r="BE36" s="59">
        <f t="shared" si="20"/>
        <v>0</v>
      </c>
      <c r="BF36" s="59">
        <f t="shared" si="20"/>
        <v>3</v>
      </c>
      <c r="BG36" s="59">
        <f t="shared" si="20"/>
        <v>0</v>
      </c>
      <c r="BH36" s="59">
        <f t="shared" si="20"/>
        <v>0</v>
      </c>
      <c r="BI36" s="59">
        <f t="shared" si="20"/>
        <v>0</v>
      </c>
      <c r="BJ36" s="59">
        <f t="shared" si="20"/>
        <v>0</v>
      </c>
    </row>
    <row r="37" spans="2:62">
      <c r="B37" s="59">
        <v>60</v>
      </c>
      <c r="C37" s="59">
        <f t="shared" ref="C37:AH37" si="21">COUNTIF(C$4:C$31,"&gt;59")-C36-C35-C34-C33</f>
        <v>0</v>
      </c>
      <c r="D37" s="59">
        <f t="shared" si="21"/>
        <v>0</v>
      </c>
      <c r="E37" s="59">
        <f t="shared" si="21"/>
        <v>0</v>
      </c>
      <c r="F37" s="59">
        <f t="shared" si="21"/>
        <v>0</v>
      </c>
      <c r="G37" s="59">
        <f t="shared" si="21"/>
        <v>0</v>
      </c>
      <c r="H37" s="59">
        <f t="shared" si="21"/>
        <v>0</v>
      </c>
      <c r="I37" s="59">
        <f t="shared" si="21"/>
        <v>0</v>
      </c>
      <c r="J37" s="59">
        <f t="shared" si="21"/>
        <v>0</v>
      </c>
      <c r="K37" s="59">
        <f t="shared" si="21"/>
        <v>0</v>
      </c>
      <c r="L37" s="59">
        <f t="shared" si="21"/>
        <v>0</v>
      </c>
      <c r="M37" s="59">
        <f t="shared" si="21"/>
        <v>0</v>
      </c>
      <c r="N37" s="59">
        <f t="shared" si="21"/>
        <v>0</v>
      </c>
      <c r="O37" s="59">
        <f t="shared" si="21"/>
        <v>0</v>
      </c>
      <c r="P37" s="59">
        <f t="shared" si="21"/>
        <v>0</v>
      </c>
      <c r="Q37" s="59">
        <f t="shared" si="21"/>
        <v>0</v>
      </c>
      <c r="R37" s="59">
        <f t="shared" si="21"/>
        <v>0</v>
      </c>
      <c r="S37" s="59">
        <f t="shared" si="21"/>
        <v>1</v>
      </c>
      <c r="T37" s="59">
        <f t="shared" si="21"/>
        <v>0</v>
      </c>
      <c r="U37" s="59">
        <f t="shared" si="21"/>
        <v>0</v>
      </c>
      <c r="V37" s="59">
        <f t="shared" si="21"/>
        <v>1</v>
      </c>
      <c r="W37" s="59">
        <f t="shared" si="21"/>
        <v>0</v>
      </c>
      <c r="X37" s="59">
        <f t="shared" si="21"/>
        <v>1</v>
      </c>
      <c r="Y37" s="59">
        <f t="shared" si="21"/>
        <v>1</v>
      </c>
      <c r="Z37" s="59">
        <f t="shared" si="21"/>
        <v>0</v>
      </c>
      <c r="AA37" s="59">
        <f t="shared" si="21"/>
        <v>0</v>
      </c>
      <c r="AB37" s="59">
        <f t="shared" si="21"/>
        <v>0</v>
      </c>
      <c r="AC37" s="59">
        <f t="shared" si="21"/>
        <v>0</v>
      </c>
      <c r="AD37" s="59">
        <f t="shared" si="21"/>
        <v>0</v>
      </c>
      <c r="AE37" s="59">
        <f t="shared" si="21"/>
        <v>0</v>
      </c>
      <c r="AF37" s="59">
        <f t="shared" si="21"/>
        <v>0</v>
      </c>
      <c r="AG37" s="59">
        <f t="shared" si="21"/>
        <v>0</v>
      </c>
      <c r="AH37" s="59">
        <f t="shared" si="21"/>
        <v>0</v>
      </c>
      <c r="AI37" s="59">
        <f t="shared" ref="AI37:BJ37" si="22">COUNTIF(AI$4:AI$31,"&gt;59")-AI36-AI35-AI34-AI33</f>
        <v>0</v>
      </c>
      <c r="AJ37" s="59">
        <f t="shared" si="22"/>
        <v>0</v>
      </c>
      <c r="AK37" s="59">
        <f t="shared" si="22"/>
        <v>0</v>
      </c>
      <c r="AL37" s="59">
        <f t="shared" si="22"/>
        <v>0</v>
      </c>
      <c r="AM37" s="59">
        <f t="shared" si="22"/>
        <v>0</v>
      </c>
      <c r="AN37" s="59">
        <f t="shared" si="22"/>
        <v>0</v>
      </c>
      <c r="AO37" s="59">
        <f t="shared" si="22"/>
        <v>0</v>
      </c>
      <c r="AP37" s="59">
        <f t="shared" si="22"/>
        <v>0</v>
      </c>
      <c r="AQ37" s="59">
        <f t="shared" si="22"/>
        <v>0</v>
      </c>
      <c r="AR37" s="59">
        <f t="shared" si="22"/>
        <v>0</v>
      </c>
      <c r="AS37" s="59">
        <f t="shared" si="22"/>
        <v>0</v>
      </c>
      <c r="AT37" s="59">
        <f t="shared" si="22"/>
        <v>0</v>
      </c>
      <c r="AU37" s="59">
        <f t="shared" si="22"/>
        <v>0</v>
      </c>
      <c r="AV37" s="59">
        <f t="shared" si="22"/>
        <v>0</v>
      </c>
      <c r="AW37" s="59">
        <f t="shared" si="22"/>
        <v>0</v>
      </c>
      <c r="AX37" s="59">
        <f t="shared" si="22"/>
        <v>0</v>
      </c>
      <c r="AY37" s="59">
        <f t="shared" si="22"/>
        <v>0</v>
      </c>
      <c r="AZ37" s="59">
        <f t="shared" si="22"/>
        <v>0</v>
      </c>
      <c r="BA37" s="59">
        <f t="shared" si="22"/>
        <v>0</v>
      </c>
      <c r="BB37" s="59">
        <f t="shared" si="22"/>
        <v>0</v>
      </c>
      <c r="BC37" s="59">
        <f t="shared" si="22"/>
        <v>0</v>
      </c>
      <c r="BD37" s="59">
        <f t="shared" si="22"/>
        <v>0</v>
      </c>
      <c r="BE37" s="59">
        <f t="shared" si="22"/>
        <v>0</v>
      </c>
      <c r="BF37" s="59">
        <f t="shared" si="22"/>
        <v>0</v>
      </c>
      <c r="BG37" s="59">
        <f t="shared" si="22"/>
        <v>0</v>
      </c>
      <c r="BH37" s="59">
        <f t="shared" si="22"/>
        <v>0</v>
      </c>
      <c r="BI37" s="59">
        <f t="shared" si="22"/>
        <v>0</v>
      </c>
      <c r="BJ37" s="59">
        <f t="shared" si="22"/>
        <v>0</v>
      </c>
    </row>
    <row r="38" spans="2:62">
      <c r="B38" s="59" t="s">
        <v>215</v>
      </c>
      <c r="C38" s="59">
        <f t="shared" ref="C38:AH38" si="23">26-C37-C36-C35-C34-C33</f>
        <v>26</v>
      </c>
      <c r="D38" s="59">
        <f t="shared" si="23"/>
        <v>26</v>
      </c>
      <c r="E38" s="59">
        <f t="shared" si="23"/>
        <v>26</v>
      </c>
      <c r="F38" s="59">
        <f t="shared" si="23"/>
        <v>26</v>
      </c>
      <c r="G38" s="59">
        <f t="shared" si="23"/>
        <v>26</v>
      </c>
      <c r="H38" s="59">
        <f t="shared" si="23"/>
        <v>26</v>
      </c>
      <c r="I38" s="59">
        <f t="shared" si="23"/>
        <v>26</v>
      </c>
      <c r="J38" s="59">
        <f t="shared" si="23"/>
        <v>26</v>
      </c>
      <c r="K38" s="59">
        <f t="shared" si="23"/>
        <v>26</v>
      </c>
      <c r="L38" s="59">
        <f t="shared" si="23"/>
        <v>26</v>
      </c>
      <c r="M38" s="59">
        <f t="shared" si="23"/>
        <v>26</v>
      </c>
      <c r="N38" s="59">
        <f t="shared" si="23"/>
        <v>26</v>
      </c>
      <c r="O38" s="59">
        <f t="shared" si="23"/>
        <v>26</v>
      </c>
      <c r="P38" s="59">
        <f t="shared" si="23"/>
        <v>26</v>
      </c>
      <c r="Q38" s="59">
        <f t="shared" si="23"/>
        <v>26</v>
      </c>
      <c r="R38" s="59">
        <f t="shared" si="23"/>
        <v>26</v>
      </c>
      <c r="S38" s="59">
        <f t="shared" si="23"/>
        <v>1</v>
      </c>
      <c r="T38" s="59">
        <f t="shared" si="23"/>
        <v>1</v>
      </c>
      <c r="U38" s="59">
        <f t="shared" si="23"/>
        <v>1</v>
      </c>
      <c r="V38" s="59">
        <f t="shared" si="23"/>
        <v>1</v>
      </c>
      <c r="W38" s="59">
        <f t="shared" si="23"/>
        <v>1</v>
      </c>
      <c r="X38" s="59">
        <f t="shared" si="23"/>
        <v>2</v>
      </c>
      <c r="Y38" s="59">
        <f t="shared" si="23"/>
        <v>2</v>
      </c>
      <c r="Z38" s="59">
        <f t="shared" si="23"/>
        <v>26</v>
      </c>
      <c r="AA38" s="59">
        <f t="shared" si="23"/>
        <v>26</v>
      </c>
      <c r="AB38" s="59">
        <f t="shared" si="23"/>
        <v>26</v>
      </c>
      <c r="AC38" s="59">
        <f t="shared" si="23"/>
        <v>1</v>
      </c>
      <c r="AD38" s="59">
        <f t="shared" si="23"/>
        <v>26</v>
      </c>
      <c r="AE38" s="59">
        <f t="shared" si="23"/>
        <v>26</v>
      </c>
      <c r="AF38" s="59">
        <f t="shared" si="23"/>
        <v>26</v>
      </c>
      <c r="AG38" s="59">
        <f t="shared" si="23"/>
        <v>26</v>
      </c>
      <c r="AH38" s="59">
        <f t="shared" si="23"/>
        <v>26</v>
      </c>
      <c r="AI38" s="59">
        <f t="shared" ref="AI38:BJ38" si="24">26-AI37-AI36-AI35-AI34-AI33</f>
        <v>26</v>
      </c>
      <c r="AJ38" s="59">
        <f t="shared" si="24"/>
        <v>26</v>
      </c>
      <c r="AK38" s="59">
        <f t="shared" si="24"/>
        <v>26</v>
      </c>
      <c r="AL38" s="59">
        <f t="shared" si="24"/>
        <v>26</v>
      </c>
      <c r="AM38" s="59">
        <f t="shared" si="24"/>
        <v>26</v>
      </c>
      <c r="AN38" s="59">
        <f t="shared" si="24"/>
        <v>26</v>
      </c>
      <c r="AO38" s="59">
        <f t="shared" si="24"/>
        <v>26</v>
      </c>
      <c r="AP38" s="59">
        <f t="shared" si="24"/>
        <v>26</v>
      </c>
      <c r="AQ38" s="59">
        <f t="shared" si="24"/>
        <v>26</v>
      </c>
      <c r="AR38" s="59">
        <f t="shared" si="24"/>
        <v>26</v>
      </c>
      <c r="AS38" s="59">
        <f t="shared" si="24"/>
        <v>26</v>
      </c>
      <c r="AT38" s="59">
        <f t="shared" si="24"/>
        <v>26</v>
      </c>
      <c r="AU38" s="59">
        <f t="shared" si="24"/>
        <v>26</v>
      </c>
      <c r="AV38" s="59">
        <f t="shared" si="24"/>
        <v>26</v>
      </c>
      <c r="AW38" s="59">
        <f t="shared" si="24"/>
        <v>26</v>
      </c>
      <c r="AX38" s="59">
        <f t="shared" si="24"/>
        <v>26</v>
      </c>
      <c r="AY38" s="59">
        <f t="shared" si="24"/>
        <v>26</v>
      </c>
      <c r="AZ38" s="59">
        <f t="shared" si="24"/>
        <v>26</v>
      </c>
      <c r="BA38" s="59">
        <f t="shared" si="24"/>
        <v>26</v>
      </c>
      <c r="BB38" s="59">
        <f t="shared" si="24"/>
        <v>26</v>
      </c>
      <c r="BC38" s="59">
        <f t="shared" si="24"/>
        <v>26</v>
      </c>
      <c r="BD38" s="59">
        <f t="shared" si="24"/>
        <v>26</v>
      </c>
      <c r="BE38" s="59">
        <f t="shared" si="24"/>
        <v>26</v>
      </c>
      <c r="BF38" s="59">
        <f t="shared" si="24"/>
        <v>0</v>
      </c>
      <c r="BG38" s="59">
        <f t="shared" si="24"/>
        <v>26</v>
      </c>
      <c r="BH38" s="59">
        <f t="shared" si="24"/>
        <v>26</v>
      </c>
      <c r="BI38" s="59">
        <f t="shared" si="24"/>
        <v>26</v>
      </c>
      <c r="BJ38" s="59">
        <f t="shared" si="24"/>
        <v>26</v>
      </c>
    </row>
    <row r="39" spans="2:62" ht="14.25">
      <c r="B39" s="62" t="s">
        <v>216</v>
      </c>
      <c r="C39" s="59">
        <f>SUM(C33:C38)</f>
        <v>26</v>
      </c>
      <c r="D39" s="59">
        <f t="shared" ref="D39:AT39" si="25">SUM(D33:D38)</f>
        <v>26</v>
      </c>
      <c r="E39" s="59">
        <f t="shared" si="25"/>
        <v>26</v>
      </c>
      <c r="F39" s="59">
        <f t="shared" si="25"/>
        <v>26</v>
      </c>
      <c r="G39" s="59">
        <f t="shared" si="25"/>
        <v>26</v>
      </c>
      <c r="H39" s="59">
        <f t="shared" si="25"/>
        <v>26</v>
      </c>
      <c r="I39" s="59">
        <f t="shared" si="25"/>
        <v>26</v>
      </c>
      <c r="J39" s="59">
        <f t="shared" si="25"/>
        <v>26</v>
      </c>
      <c r="K39" s="59">
        <f t="shared" si="25"/>
        <v>26</v>
      </c>
      <c r="L39" s="59">
        <f t="shared" si="25"/>
        <v>26</v>
      </c>
      <c r="M39" s="59">
        <f t="shared" si="25"/>
        <v>26</v>
      </c>
      <c r="N39" s="59">
        <f t="shared" si="25"/>
        <v>26</v>
      </c>
      <c r="O39" s="59">
        <f t="shared" si="25"/>
        <v>26</v>
      </c>
      <c r="P39" s="59">
        <f t="shared" si="25"/>
        <v>26</v>
      </c>
      <c r="Q39" s="59">
        <f t="shared" si="25"/>
        <v>26</v>
      </c>
      <c r="R39" s="59">
        <f t="shared" si="25"/>
        <v>26</v>
      </c>
      <c r="S39" s="59">
        <f t="shared" si="25"/>
        <v>26</v>
      </c>
      <c r="T39" s="59">
        <f t="shared" si="25"/>
        <v>26</v>
      </c>
      <c r="U39" s="59">
        <f t="shared" si="25"/>
        <v>26</v>
      </c>
      <c r="V39" s="59">
        <f t="shared" si="25"/>
        <v>26</v>
      </c>
      <c r="W39" s="59">
        <f t="shared" si="25"/>
        <v>26</v>
      </c>
      <c r="X39" s="59">
        <f t="shared" si="25"/>
        <v>26</v>
      </c>
      <c r="Y39" s="59">
        <f t="shared" si="25"/>
        <v>26</v>
      </c>
      <c r="Z39" s="59">
        <f t="shared" si="25"/>
        <v>26</v>
      </c>
      <c r="AA39" s="59">
        <f t="shared" si="25"/>
        <v>26</v>
      </c>
      <c r="AB39" s="59">
        <f t="shared" si="25"/>
        <v>26</v>
      </c>
      <c r="AC39" s="59">
        <f t="shared" si="25"/>
        <v>26</v>
      </c>
      <c r="AD39" s="59">
        <f t="shared" si="25"/>
        <v>26</v>
      </c>
      <c r="AE39" s="59">
        <f t="shared" si="25"/>
        <v>26</v>
      </c>
      <c r="AF39" s="59">
        <f t="shared" si="25"/>
        <v>26</v>
      </c>
      <c r="AG39" s="59">
        <f t="shared" si="25"/>
        <v>26</v>
      </c>
      <c r="AH39" s="59">
        <f t="shared" si="25"/>
        <v>26</v>
      </c>
      <c r="AI39" s="59">
        <f t="shared" si="25"/>
        <v>26</v>
      </c>
      <c r="AJ39" s="59">
        <f t="shared" si="25"/>
        <v>26</v>
      </c>
      <c r="AK39" s="59">
        <f t="shared" si="25"/>
        <v>26</v>
      </c>
      <c r="AL39" s="59">
        <f t="shared" si="25"/>
        <v>26</v>
      </c>
      <c r="AM39" s="59">
        <f t="shared" si="25"/>
        <v>26</v>
      </c>
      <c r="AN39" s="59">
        <f t="shared" si="25"/>
        <v>26</v>
      </c>
      <c r="AO39" s="59">
        <f t="shared" si="25"/>
        <v>26</v>
      </c>
      <c r="AP39" s="59">
        <f t="shared" si="25"/>
        <v>26</v>
      </c>
      <c r="AQ39" s="59">
        <f t="shared" si="25"/>
        <v>26</v>
      </c>
      <c r="AR39" s="59">
        <f t="shared" si="25"/>
        <v>26</v>
      </c>
      <c r="AS39" s="59">
        <f t="shared" si="25"/>
        <v>26</v>
      </c>
      <c r="AT39" s="59">
        <f t="shared" si="25"/>
        <v>26</v>
      </c>
      <c r="AU39" s="59">
        <f t="shared" ref="AU39:BJ39" si="26">SUM(AU33:AU38)</f>
        <v>26</v>
      </c>
      <c r="AV39" s="59">
        <f t="shared" si="26"/>
        <v>26</v>
      </c>
      <c r="AW39" s="59">
        <f t="shared" si="26"/>
        <v>26</v>
      </c>
      <c r="AX39" s="59">
        <f t="shared" si="26"/>
        <v>26</v>
      </c>
      <c r="AY39" s="59">
        <f t="shared" si="26"/>
        <v>26</v>
      </c>
      <c r="AZ39" s="59">
        <f t="shared" si="26"/>
        <v>26</v>
      </c>
      <c r="BA39" s="59">
        <f t="shared" si="26"/>
        <v>26</v>
      </c>
      <c r="BB39" s="59">
        <f t="shared" si="26"/>
        <v>26</v>
      </c>
      <c r="BC39" s="59">
        <f t="shared" si="26"/>
        <v>26</v>
      </c>
      <c r="BD39" s="59">
        <f t="shared" si="26"/>
        <v>26</v>
      </c>
      <c r="BE39" s="59">
        <f t="shared" si="26"/>
        <v>26</v>
      </c>
      <c r="BF39" s="59">
        <f t="shared" si="26"/>
        <v>26</v>
      </c>
      <c r="BG39" s="59">
        <f t="shared" si="26"/>
        <v>26</v>
      </c>
      <c r="BH39" s="59">
        <f t="shared" si="26"/>
        <v>26</v>
      </c>
      <c r="BI39" s="59">
        <f t="shared" si="26"/>
        <v>26</v>
      </c>
      <c r="BJ39" s="59">
        <f t="shared" si="26"/>
        <v>26</v>
      </c>
    </row>
    <row r="42" spans="2:62" ht="16.5">
      <c r="J42" s="77"/>
      <c r="R42" s="77"/>
    </row>
  </sheetData>
  <mergeCells count="11">
    <mergeCell ref="BD2:BE2"/>
    <mergeCell ref="BF2:BG2"/>
    <mergeCell ref="BH2:BJ2"/>
    <mergeCell ref="AV2:BB2"/>
    <mergeCell ref="A1:AM1"/>
    <mergeCell ref="A2:B2"/>
    <mergeCell ref="K2:R2"/>
    <mergeCell ref="S2:AC2"/>
    <mergeCell ref="AD2:AM2"/>
    <mergeCell ref="AN2:AT2"/>
    <mergeCell ref="C2:J2"/>
  </mergeCells>
  <phoneticPr fontId="2" type="noConversion"/>
  <pageMargins left="0.19685039370078741" right="0.19685039370078741" top="0.59055118110236227" bottom="0.39370078740157483" header="0" footer="0"/>
  <pageSetup paperSize="9" firstPageNumber="0" fitToWidth="0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Y3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5" sqref="T15"/>
    </sheetView>
  </sheetViews>
  <sheetFormatPr defaultRowHeight="12.75"/>
  <cols>
    <col min="1" max="1" width="2.875" style="59" customWidth="1"/>
    <col min="2" max="2" width="7" style="59" customWidth="1"/>
    <col min="3" max="43" width="3.375" style="59" customWidth="1"/>
    <col min="44" max="49" width="4.625" style="59" customWidth="1"/>
    <col min="50" max="50" width="6.625" style="59" customWidth="1"/>
    <col min="51" max="16384" width="9" style="59"/>
  </cols>
  <sheetData>
    <row r="1" spans="1:51" ht="14.25">
      <c r="A1" s="499" t="s">
        <v>204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  <c r="AG1" s="499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45"/>
      <c r="AS1" s="245"/>
      <c r="AT1" s="245"/>
      <c r="AU1" s="245"/>
      <c r="AV1" s="245"/>
      <c r="AW1" s="245"/>
      <c r="AX1" s="245"/>
    </row>
    <row r="2" spans="1:51" ht="14.25">
      <c r="A2" s="499">
        <v>307</v>
      </c>
      <c r="B2" s="497"/>
      <c r="C2" s="498" t="s">
        <v>205</v>
      </c>
      <c r="D2" s="498"/>
      <c r="E2" s="498"/>
      <c r="F2" s="498"/>
      <c r="G2" s="498"/>
      <c r="H2" s="498"/>
      <c r="I2" s="498"/>
      <c r="J2" s="498"/>
      <c r="K2" s="498"/>
      <c r="L2" s="498"/>
      <c r="M2" s="492" t="s">
        <v>206</v>
      </c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 t="s">
        <v>570</v>
      </c>
      <c r="Y2" s="492"/>
      <c r="Z2" s="492"/>
      <c r="AA2" s="492"/>
      <c r="AB2" s="492"/>
      <c r="AC2" s="492"/>
      <c r="AD2" s="492"/>
      <c r="AE2" s="492"/>
      <c r="AF2" s="492"/>
      <c r="AG2" s="492"/>
      <c r="AH2" s="492" t="s">
        <v>268</v>
      </c>
      <c r="AI2" s="492"/>
      <c r="AJ2" s="492"/>
      <c r="AK2" s="492"/>
      <c r="AL2" s="492"/>
      <c r="AM2" s="492"/>
      <c r="AN2" s="492"/>
      <c r="AO2" s="492"/>
      <c r="AP2" s="492"/>
      <c r="AQ2" s="492"/>
      <c r="AR2" s="492" t="s">
        <v>207</v>
      </c>
      <c r="AS2" s="492"/>
      <c r="AT2" s="492" t="s">
        <v>208</v>
      </c>
      <c r="AU2" s="492"/>
      <c r="AV2" s="492" t="s">
        <v>209</v>
      </c>
      <c r="AW2" s="492"/>
      <c r="AX2" s="492"/>
    </row>
    <row r="3" spans="1:51" ht="14.25">
      <c r="A3" s="243" t="s">
        <v>210</v>
      </c>
      <c r="B3" s="243" t="s">
        <v>0</v>
      </c>
      <c r="C3" s="244">
        <v>1</v>
      </c>
      <c r="D3" s="245">
        <v>2</v>
      </c>
      <c r="E3" s="244">
        <v>3</v>
      </c>
      <c r="F3" s="245">
        <v>4</v>
      </c>
      <c r="G3" s="244">
        <v>5</v>
      </c>
      <c r="H3" s="245">
        <v>6</v>
      </c>
      <c r="I3" s="244">
        <v>7</v>
      </c>
      <c r="J3" s="245">
        <v>8</v>
      </c>
      <c r="K3" s="244">
        <v>9</v>
      </c>
      <c r="L3" s="245"/>
      <c r="M3" s="245">
        <v>1</v>
      </c>
      <c r="N3" s="245">
        <v>2</v>
      </c>
      <c r="O3" s="245">
        <v>3</v>
      </c>
      <c r="P3" s="245">
        <v>4</v>
      </c>
      <c r="Q3" s="245">
        <v>5</v>
      </c>
      <c r="R3" s="245">
        <v>6</v>
      </c>
      <c r="S3" s="245">
        <v>7</v>
      </c>
      <c r="T3" s="245">
        <v>8</v>
      </c>
      <c r="U3" s="245">
        <v>9</v>
      </c>
      <c r="V3" s="245">
        <v>10</v>
      </c>
      <c r="W3" s="245"/>
      <c r="X3" s="245">
        <v>1</v>
      </c>
      <c r="Y3" s="245">
        <v>2</v>
      </c>
      <c r="Z3" s="245">
        <v>3</v>
      </c>
      <c r="AA3" s="245">
        <v>4</v>
      </c>
      <c r="AB3" s="245">
        <v>5</v>
      </c>
      <c r="AC3" s="245">
        <v>6</v>
      </c>
      <c r="AD3" s="245">
        <v>7</v>
      </c>
      <c r="AE3" s="245">
        <v>8</v>
      </c>
      <c r="AF3" s="245">
        <v>9</v>
      </c>
      <c r="AG3" s="245">
        <v>10</v>
      </c>
      <c r="AH3" s="245">
        <v>1</v>
      </c>
      <c r="AI3" s="245">
        <v>2</v>
      </c>
      <c r="AJ3" s="245">
        <v>3</v>
      </c>
      <c r="AK3" s="245">
        <v>4</v>
      </c>
      <c r="AL3" s="245">
        <v>5</v>
      </c>
      <c r="AM3" s="245">
        <v>6</v>
      </c>
      <c r="AN3" s="245">
        <v>7</v>
      </c>
      <c r="AO3" s="245">
        <v>8</v>
      </c>
      <c r="AP3" s="245">
        <v>9</v>
      </c>
      <c r="AQ3" s="245">
        <v>10</v>
      </c>
      <c r="AR3" s="241" t="s">
        <v>211</v>
      </c>
      <c r="AS3" s="241" t="s">
        <v>212</v>
      </c>
      <c r="AT3" s="241" t="s">
        <v>211</v>
      </c>
      <c r="AU3" s="241" t="s">
        <v>212</v>
      </c>
      <c r="AV3" s="241" t="s">
        <v>211</v>
      </c>
      <c r="AW3" s="241" t="s">
        <v>212</v>
      </c>
      <c r="AX3" s="241" t="s">
        <v>213</v>
      </c>
    </row>
    <row r="4" spans="1:51" ht="18.75" customHeight="1">
      <c r="A4" s="147">
        <v>1</v>
      </c>
      <c r="B4" s="135" t="str">
        <f>VLOOKUP(A4,緊急聯絡!A$2:C$27,3,0)</f>
        <v>陳威劭</v>
      </c>
      <c r="C4" s="245"/>
      <c r="D4" s="245"/>
      <c r="E4" s="245"/>
      <c r="F4" s="245"/>
      <c r="G4" s="245"/>
      <c r="H4" s="245"/>
      <c r="I4" s="245"/>
      <c r="J4" s="245"/>
      <c r="K4" s="245"/>
      <c r="L4" s="245" t="e">
        <f>AVERAGE(C4:K4)</f>
        <v>#DIV/0!</v>
      </c>
      <c r="M4" s="243">
        <v>87</v>
      </c>
      <c r="N4" s="245">
        <v>90</v>
      </c>
      <c r="O4" s="245">
        <v>95</v>
      </c>
      <c r="P4" s="245">
        <v>75</v>
      </c>
      <c r="Q4" s="245"/>
      <c r="R4" s="245"/>
      <c r="S4" s="245"/>
      <c r="T4" s="245"/>
      <c r="U4" s="245"/>
      <c r="V4" s="245"/>
      <c r="W4" s="245">
        <f>AVERAGE(M4:V4)</f>
        <v>86.75</v>
      </c>
      <c r="X4" s="245"/>
      <c r="Y4" s="245"/>
      <c r="Z4" s="245"/>
      <c r="AA4" s="245"/>
      <c r="AB4" s="245"/>
      <c r="AC4" s="245"/>
      <c r="AD4" s="245"/>
      <c r="AE4" s="245"/>
      <c r="AF4" s="245"/>
      <c r="AG4" s="245" t="e">
        <f>AVERAGE(X4:AF4)</f>
        <v>#DIV/0!</v>
      </c>
      <c r="AH4" s="245"/>
      <c r="AI4" s="245"/>
      <c r="AJ4" s="245"/>
      <c r="AK4" s="245"/>
      <c r="AL4" s="245"/>
      <c r="AM4" s="245"/>
      <c r="AN4" s="245"/>
      <c r="AO4" s="245"/>
      <c r="AP4" s="245"/>
      <c r="AQ4" s="245" t="e">
        <f>AVERAGE(AH4:AP4)</f>
        <v>#DIV/0!</v>
      </c>
      <c r="AR4" s="245" t="e">
        <f>AVERAGE(L4,V4,AG4,AQ4)</f>
        <v>#DIV/0!</v>
      </c>
      <c r="AS4" s="245" t="e">
        <f>AVERAGE(L4,W4,AG4,AH4)</f>
        <v>#DIV/0!</v>
      </c>
      <c r="AT4" s="235">
        <v>95</v>
      </c>
      <c r="AU4" s="245"/>
      <c r="AV4" s="245" t="e">
        <f>AVERAGE(AR4,AT4)</f>
        <v>#DIV/0!</v>
      </c>
      <c r="AW4" s="245" t="e">
        <f>AVERAGE(AS4,AU4)</f>
        <v>#DIV/0!</v>
      </c>
      <c r="AX4" s="245" t="e">
        <f>AVERAGE(AV4:AW4)</f>
        <v>#DIV/0!</v>
      </c>
      <c r="AY4" s="59">
        <f>AU4-AT4</f>
        <v>-95</v>
      </c>
    </row>
    <row r="5" spans="1:51" ht="18.75" customHeight="1">
      <c r="A5" s="147">
        <v>2</v>
      </c>
      <c r="B5" s="135" t="str">
        <f>VLOOKUP(A5,緊急聯絡!A$2:C$27,3,0)</f>
        <v>周宗慶</v>
      </c>
      <c r="C5" s="245"/>
      <c r="D5" s="245"/>
      <c r="E5" s="245"/>
      <c r="F5" s="245"/>
      <c r="G5" s="245"/>
      <c r="H5" s="245"/>
      <c r="I5" s="245"/>
      <c r="J5" s="245"/>
      <c r="K5" s="245"/>
      <c r="L5" s="245" t="e">
        <f t="shared" ref="L5:L29" si="0">AVERAGE(C5:K5)</f>
        <v>#DIV/0!</v>
      </c>
      <c r="M5" s="243">
        <v>86</v>
      </c>
      <c r="N5" s="245">
        <v>90</v>
      </c>
      <c r="O5" s="245">
        <v>83</v>
      </c>
      <c r="P5" s="245">
        <v>93</v>
      </c>
      <c r="Q5" s="245"/>
      <c r="R5" s="245"/>
      <c r="S5" s="245"/>
      <c r="T5" s="245"/>
      <c r="U5" s="245"/>
      <c r="V5" s="245"/>
      <c r="W5" s="245">
        <f t="shared" ref="W5:W29" si="1">AVERAGE(M5:V5)</f>
        <v>88</v>
      </c>
      <c r="X5" s="245"/>
      <c r="Y5" s="245"/>
      <c r="Z5" s="245"/>
      <c r="AA5" s="245"/>
      <c r="AB5" s="245"/>
      <c r="AC5" s="245"/>
      <c r="AD5" s="245"/>
      <c r="AE5" s="245"/>
      <c r="AF5" s="245"/>
      <c r="AG5" s="245" t="e">
        <f t="shared" ref="AG5:AG29" si="2">AVERAGE(X5:AF5)</f>
        <v>#DIV/0!</v>
      </c>
      <c r="AH5" s="245"/>
      <c r="AI5" s="245"/>
      <c r="AJ5" s="245"/>
      <c r="AK5" s="245"/>
      <c r="AL5" s="245"/>
      <c r="AM5" s="245"/>
      <c r="AN5" s="245"/>
      <c r="AO5" s="245"/>
      <c r="AP5" s="245"/>
      <c r="AQ5" s="245" t="e">
        <f t="shared" ref="AQ5:AQ29" si="3">AVERAGE(AH5:AP5)</f>
        <v>#DIV/0!</v>
      </c>
      <c r="AR5" s="245" t="e">
        <f t="shared" ref="AR5:AR29" si="4">AVERAGE(L5,V5,AG5,AQ5)</f>
        <v>#DIV/0!</v>
      </c>
      <c r="AS5" s="245" t="e">
        <f t="shared" ref="AS5:AS29" si="5">AVERAGE(L5,W5,AG5,AH5)</f>
        <v>#DIV/0!</v>
      </c>
      <c r="AT5" s="235">
        <v>99</v>
      </c>
      <c r="AU5" s="245"/>
      <c r="AV5" s="245" t="e">
        <f t="shared" ref="AV5:AW26" si="6">AVERAGE(AR5,AT5)</f>
        <v>#DIV/0!</v>
      </c>
      <c r="AW5" s="245" t="e">
        <f t="shared" si="6"/>
        <v>#DIV/0!</v>
      </c>
      <c r="AX5" s="245" t="e">
        <f t="shared" ref="AX5:AX29" si="7">AVERAGE(AV5:AW5)</f>
        <v>#DIV/0!</v>
      </c>
      <c r="AY5" s="59">
        <f t="shared" ref="AY5:AY29" si="8">AU5-AT5</f>
        <v>-99</v>
      </c>
    </row>
    <row r="6" spans="1:51" ht="18.75" customHeight="1">
      <c r="A6" s="147">
        <v>3</v>
      </c>
      <c r="B6" s="135" t="str">
        <f>VLOOKUP(A6,緊急聯絡!A$2:C$27,3,0)</f>
        <v>林昱任</v>
      </c>
      <c r="C6" s="245"/>
      <c r="D6" s="245"/>
      <c r="E6" s="245"/>
      <c r="F6" s="245"/>
      <c r="G6" s="245"/>
      <c r="H6" s="245"/>
      <c r="I6" s="245"/>
      <c r="J6" s="245"/>
      <c r="K6" s="245"/>
      <c r="L6" s="245" t="e">
        <f t="shared" si="0"/>
        <v>#DIV/0!</v>
      </c>
      <c r="M6" s="243">
        <v>100</v>
      </c>
      <c r="N6" s="245">
        <v>99</v>
      </c>
      <c r="O6" s="245">
        <v>91</v>
      </c>
      <c r="P6" s="245">
        <v>92</v>
      </c>
      <c r="Q6" s="245"/>
      <c r="R6" s="245"/>
      <c r="S6" s="245"/>
      <c r="T6" s="245"/>
      <c r="U6" s="245"/>
      <c r="V6" s="245"/>
      <c r="W6" s="245">
        <f t="shared" si="1"/>
        <v>95.5</v>
      </c>
      <c r="X6" s="245"/>
      <c r="Y6" s="245"/>
      <c r="Z6" s="245"/>
      <c r="AA6" s="245"/>
      <c r="AB6" s="245"/>
      <c r="AC6" s="245"/>
      <c r="AD6" s="245"/>
      <c r="AE6" s="245"/>
      <c r="AF6" s="245"/>
      <c r="AG6" s="245" t="e">
        <f t="shared" si="2"/>
        <v>#DIV/0!</v>
      </c>
      <c r="AH6" s="245"/>
      <c r="AI6" s="245"/>
      <c r="AJ6" s="245"/>
      <c r="AK6" s="245"/>
      <c r="AL6" s="245"/>
      <c r="AM6" s="245"/>
      <c r="AN6" s="245"/>
      <c r="AO6" s="245"/>
      <c r="AP6" s="245"/>
      <c r="AQ6" s="245" t="e">
        <f t="shared" si="3"/>
        <v>#DIV/0!</v>
      </c>
      <c r="AR6" s="245" t="e">
        <f t="shared" si="4"/>
        <v>#DIV/0!</v>
      </c>
      <c r="AS6" s="245" t="e">
        <f t="shared" si="5"/>
        <v>#DIV/0!</v>
      </c>
      <c r="AT6" s="235">
        <v>82</v>
      </c>
      <c r="AU6" s="245"/>
      <c r="AV6" s="245" t="e">
        <f t="shared" si="6"/>
        <v>#DIV/0!</v>
      </c>
      <c r="AW6" s="245" t="e">
        <f t="shared" si="6"/>
        <v>#DIV/0!</v>
      </c>
      <c r="AX6" s="245" t="e">
        <f t="shared" si="7"/>
        <v>#DIV/0!</v>
      </c>
      <c r="AY6" s="59">
        <f t="shared" si="8"/>
        <v>-82</v>
      </c>
    </row>
    <row r="7" spans="1:51" ht="18.75" customHeight="1">
      <c r="A7" s="147">
        <v>4</v>
      </c>
      <c r="B7" s="135" t="str">
        <f>VLOOKUP(A7,緊急聯絡!A$2:C$27,3,0)</f>
        <v>李奎煜</v>
      </c>
      <c r="C7" s="245"/>
      <c r="D7" s="245"/>
      <c r="E7" s="245"/>
      <c r="F7" s="245"/>
      <c r="G7" s="245"/>
      <c r="H7" s="245"/>
      <c r="I7" s="245"/>
      <c r="J7" s="245"/>
      <c r="K7" s="245"/>
      <c r="L7" s="245" t="e">
        <f t="shared" si="0"/>
        <v>#DIV/0!</v>
      </c>
      <c r="M7" s="243">
        <v>35</v>
      </c>
      <c r="N7" s="245">
        <v>61</v>
      </c>
      <c r="O7" s="245">
        <v>13</v>
      </c>
      <c r="P7" s="245">
        <v>56</v>
      </c>
      <c r="Q7" s="245"/>
      <c r="R7" s="245"/>
      <c r="S7" s="245"/>
      <c r="T7" s="245"/>
      <c r="U7" s="245"/>
      <c r="V7" s="245"/>
      <c r="W7" s="245">
        <f t="shared" si="1"/>
        <v>41.25</v>
      </c>
      <c r="X7" s="245"/>
      <c r="Y7" s="245"/>
      <c r="Z7" s="245"/>
      <c r="AA7" s="245"/>
      <c r="AB7" s="245"/>
      <c r="AC7" s="245"/>
      <c r="AD7" s="245"/>
      <c r="AE7" s="245"/>
      <c r="AF7" s="245"/>
      <c r="AG7" s="245" t="e">
        <f t="shared" si="2"/>
        <v>#DIV/0!</v>
      </c>
      <c r="AH7" s="245"/>
      <c r="AI7" s="245"/>
      <c r="AJ7" s="245"/>
      <c r="AK7" s="245"/>
      <c r="AL7" s="245"/>
      <c r="AM7" s="245"/>
      <c r="AN7" s="245"/>
      <c r="AO7" s="245"/>
      <c r="AP7" s="245"/>
      <c r="AQ7" s="245" t="e">
        <f t="shared" si="3"/>
        <v>#DIV/0!</v>
      </c>
      <c r="AR7" s="245" t="e">
        <f t="shared" si="4"/>
        <v>#DIV/0!</v>
      </c>
      <c r="AS7" s="245" t="e">
        <f t="shared" si="5"/>
        <v>#DIV/0!</v>
      </c>
      <c r="AT7" s="235">
        <v>100</v>
      </c>
      <c r="AU7" s="245"/>
      <c r="AV7" s="245" t="e">
        <f t="shared" si="6"/>
        <v>#DIV/0!</v>
      </c>
      <c r="AW7" s="245" t="e">
        <f t="shared" si="6"/>
        <v>#DIV/0!</v>
      </c>
      <c r="AX7" s="245" t="e">
        <f t="shared" si="7"/>
        <v>#DIV/0!</v>
      </c>
      <c r="AY7" s="59">
        <f t="shared" si="8"/>
        <v>-100</v>
      </c>
    </row>
    <row r="8" spans="1:51" ht="18.75" customHeight="1">
      <c r="A8" s="147">
        <v>5</v>
      </c>
      <c r="B8" s="135" t="str">
        <f>VLOOKUP(A8,緊急聯絡!A$2:C$27,3,0)</f>
        <v>葉翃均</v>
      </c>
      <c r="C8" s="245"/>
      <c r="D8" s="245"/>
      <c r="E8" s="245"/>
      <c r="F8" s="245"/>
      <c r="G8" s="245"/>
      <c r="H8" s="245"/>
      <c r="I8" s="245"/>
      <c r="J8" s="245"/>
      <c r="K8" s="245"/>
      <c r="L8" s="245" t="e">
        <f t="shared" si="0"/>
        <v>#DIV/0!</v>
      </c>
      <c r="M8" s="243">
        <v>91</v>
      </c>
      <c r="N8" s="245">
        <v>96</v>
      </c>
      <c r="O8" s="245">
        <v>100</v>
      </c>
      <c r="P8" s="245">
        <v>95</v>
      </c>
      <c r="Q8" s="245"/>
      <c r="R8" s="245"/>
      <c r="S8" s="245"/>
      <c r="T8" s="245"/>
      <c r="U8" s="245"/>
      <c r="V8" s="245"/>
      <c r="W8" s="245">
        <f t="shared" si="1"/>
        <v>95.5</v>
      </c>
      <c r="X8" s="245"/>
      <c r="Y8" s="245"/>
      <c r="Z8" s="245"/>
      <c r="AA8" s="245"/>
      <c r="AB8" s="245"/>
      <c r="AC8" s="245"/>
      <c r="AD8" s="245"/>
      <c r="AE8" s="245"/>
      <c r="AF8" s="245"/>
      <c r="AG8" s="245" t="e">
        <f t="shared" si="2"/>
        <v>#DIV/0!</v>
      </c>
      <c r="AH8" s="245"/>
      <c r="AI8" s="245"/>
      <c r="AJ8" s="245"/>
      <c r="AK8" s="245"/>
      <c r="AL8" s="245"/>
      <c r="AM8" s="245"/>
      <c r="AN8" s="245"/>
      <c r="AO8" s="245"/>
      <c r="AP8" s="245"/>
      <c r="AQ8" s="245" t="e">
        <f t="shared" si="3"/>
        <v>#DIV/0!</v>
      </c>
      <c r="AR8" s="245" t="e">
        <f t="shared" si="4"/>
        <v>#DIV/0!</v>
      </c>
      <c r="AS8" s="245" t="e">
        <f t="shared" si="5"/>
        <v>#DIV/0!</v>
      </c>
      <c r="AT8" s="235">
        <v>92</v>
      </c>
      <c r="AU8" s="245"/>
      <c r="AV8" s="245" t="e">
        <f t="shared" si="6"/>
        <v>#DIV/0!</v>
      </c>
      <c r="AW8" s="245" t="e">
        <f t="shared" si="6"/>
        <v>#DIV/0!</v>
      </c>
      <c r="AX8" s="245" t="e">
        <f t="shared" si="7"/>
        <v>#DIV/0!</v>
      </c>
      <c r="AY8" s="59">
        <f t="shared" si="8"/>
        <v>-92</v>
      </c>
    </row>
    <row r="9" spans="1:51" ht="18.75" customHeight="1">
      <c r="A9" s="147">
        <v>6</v>
      </c>
      <c r="B9" s="135" t="str">
        <f>VLOOKUP(A9,緊急聯絡!A$2:C$27,3,0)</f>
        <v>王奕勳</v>
      </c>
      <c r="C9" s="245"/>
      <c r="D9" s="245"/>
      <c r="E9" s="245"/>
      <c r="F9" s="245"/>
      <c r="G9" s="245"/>
      <c r="H9" s="245"/>
      <c r="I9" s="245"/>
      <c r="J9" s="245"/>
      <c r="K9" s="245"/>
      <c r="L9" s="245" t="e">
        <f t="shared" si="0"/>
        <v>#DIV/0!</v>
      </c>
      <c r="M9" s="243">
        <v>92</v>
      </c>
      <c r="N9" s="245">
        <v>85</v>
      </c>
      <c r="O9" s="245">
        <v>80</v>
      </c>
      <c r="P9" s="245">
        <v>79</v>
      </c>
      <c r="Q9" s="245"/>
      <c r="R9" s="245"/>
      <c r="S9" s="245"/>
      <c r="T9" s="245"/>
      <c r="U9" s="245"/>
      <c r="V9" s="245"/>
      <c r="W9" s="245">
        <f t="shared" si="1"/>
        <v>84</v>
      </c>
      <c r="X9" s="245"/>
      <c r="Y9" s="245"/>
      <c r="Z9" s="245"/>
      <c r="AA9" s="245"/>
      <c r="AB9" s="245"/>
      <c r="AC9" s="245"/>
      <c r="AD9" s="245"/>
      <c r="AE9" s="245"/>
      <c r="AF9" s="245"/>
      <c r="AG9" s="245" t="e">
        <f t="shared" si="2"/>
        <v>#DIV/0!</v>
      </c>
      <c r="AH9" s="245"/>
      <c r="AI9" s="245"/>
      <c r="AJ9" s="245"/>
      <c r="AK9" s="245"/>
      <c r="AL9" s="245"/>
      <c r="AM9" s="245"/>
      <c r="AN9" s="245"/>
      <c r="AO9" s="245"/>
      <c r="AP9" s="245"/>
      <c r="AQ9" s="245" t="e">
        <f t="shared" si="3"/>
        <v>#DIV/0!</v>
      </c>
      <c r="AR9" s="245" t="e">
        <f t="shared" si="4"/>
        <v>#DIV/0!</v>
      </c>
      <c r="AS9" s="245" t="e">
        <f t="shared" si="5"/>
        <v>#DIV/0!</v>
      </c>
      <c r="AT9" s="235">
        <v>91</v>
      </c>
      <c r="AU9" s="245"/>
      <c r="AV9" s="245" t="e">
        <f t="shared" si="6"/>
        <v>#DIV/0!</v>
      </c>
      <c r="AW9" s="245" t="e">
        <f t="shared" si="6"/>
        <v>#DIV/0!</v>
      </c>
      <c r="AX9" s="245" t="e">
        <f t="shared" si="7"/>
        <v>#DIV/0!</v>
      </c>
      <c r="AY9" s="59">
        <f t="shared" si="8"/>
        <v>-91</v>
      </c>
    </row>
    <row r="10" spans="1:51" ht="18.75" customHeight="1">
      <c r="A10" s="147">
        <v>7</v>
      </c>
      <c r="B10" s="135" t="str">
        <f>VLOOKUP(A10,緊急聯絡!A$2:C$27,3,0)</f>
        <v>葉彥均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 t="e">
        <f t="shared" si="0"/>
        <v>#DIV/0!</v>
      </c>
      <c r="M10" s="243">
        <v>53</v>
      </c>
      <c r="N10" s="245">
        <v>95</v>
      </c>
      <c r="O10" s="245">
        <v>88</v>
      </c>
      <c r="P10" s="245">
        <v>90</v>
      </c>
      <c r="Q10" s="245"/>
      <c r="R10" s="245"/>
      <c r="S10" s="245"/>
      <c r="T10" s="245"/>
      <c r="U10" s="245"/>
      <c r="V10" s="245"/>
      <c r="W10" s="245">
        <f t="shared" si="1"/>
        <v>81.5</v>
      </c>
      <c r="X10" s="245"/>
      <c r="Y10" s="245"/>
      <c r="Z10" s="245"/>
      <c r="AA10" s="245"/>
      <c r="AB10" s="245"/>
      <c r="AC10" s="245"/>
      <c r="AD10" s="245"/>
      <c r="AE10" s="245"/>
      <c r="AF10" s="245"/>
      <c r="AG10" s="245" t="e">
        <f t="shared" si="2"/>
        <v>#DIV/0!</v>
      </c>
      <c r="AH10" s="245"/>
      <c r="AI10" s="245"/>
      <c r="AJ10" s="245"/>
      <c r="AK10" s="245"/>
      <c r="AL10" s="245"/>
      <c r="AM10" s="245"/>
      <c r="AN10" s="245"/>
      <c r="AO10" s="245"/>
      <c r="AP10" s="245"/>
      <c r="AQ10" s="245" t="e">
        <f t="shared" si="3"/>
        <v>#DIV/0!</v>
      </c>
      <c r="AR10" s="245" t="e">
        <f t="shared" si="4"/>
        <v>#DIV/0!</v>
      </c>
      <c r="AS10" s="245" t="e">
        <f t="shared" si="5"/>
        <v>#DIV/0!</v>
      </c>
      <c r="AT10" s="235">
        <v>68</v>
      </c>
      <c r="AU10" s="245"/>
      <c r="AV10" s="245" t="e">
        <f t="shared" si="6"/>
        <v>#DIV/0!</v>
      </c>
      <c r="AW10" s="245" t="e">
        <f t="shared" si="6"/>
        <v>#DIV/0!</v>
      </c>
      <c r="AX10" s="245" t="e">
        <f t="shared" si="7"/>
        <v>#DIV/0!</v>
      </c>
      <c r="AY10" s="59">
        <f t="shared" si="8"/>
        <v>-68</v>
      </c>
    </row>
    <row r="11" spans="1:51" ht="18.75" customHeight="1">
      <c r="A11" s="147">
        <v>8</v>
      </c>
      <c r="B11" s="135" t="str">
        <f>VLOOKUP(A11,緊急聯絡!A$2:C$27,3,0)</f>
        <v>洪楷珅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 t="e">
        <f t="shared" si="0"/>
        <v>#DIV/0!</v>
      </c>
      <c r="M11" s="243">
        <v>96</v>
      </c>
      <c r="N11" s="245">
        <v>91</v>
      </c>
      <c r="O11" s="245">
        <v>97</v>
      </c>
      <c r="P11" s="245">
        <v>85</v>
      </c>
      <c r="Q11" s="245"/>
      <c r="R11" s="245"/>
      <c r="S11" s="245"/>
      <c r="T11" s="245"/>
      <c r="U11" s="245"/>
      <c r="V11" s="245"/>
      <c r="W11" s="245">
        <f t="shared" si="1"/>
        <v>92.25</v>
      </c>
      <c r="X11" s="245"/>
      <c r="Y11" s="245"/>
      <c r="Z11" s="245"/>
      <c r="AA11" s="245"/>
      <c r="AB11" s="245"/>
      <c r="AC11" s="245"/>
      <c r="AD11" s="245"/>
      <c r="AE11" s="245"/>
      <c r="AF11" s="245"/>
      <c r="AG11" s="245" t="e">
        <f t="shared" si="2"/>
        <v>#DIV/0!</v>
      </c>
      <c r="AH11" s="245"/>
      <c r="AI11" s="245"/>
      <c r="AJ11" s="245"/>
      <c r="AK11" s="245"/>
      <c r="AL11" s="245"/>
      <c r="AM11" s="245"/>
      <c r="AN11" s="245"/>
      <c r="AO11" s="245"/>
      <c r="AP11" s="245"/>
      <c r="AQ11" s="245" t="e">
        <f t="shared" si="3"/>
        <v>#DIV/0!</v>
      </c>
      <c r="AR11" s="245" t="e">
        <f t="shared" si="4"/>
        <v>#DIV/0!</v>
      </c>
      <c r="AS11" s="245" t="e">
        <f t="shared" si="5"/>
        <v>#DIV/0!</v>
      </c>
      <c r="AT11" s="235">
        <v>80</v>
      </c>
      <c r="AU11" s="245"/>
      <c r="AV11" s="245" t="e">
        <f t="shared" si="6"/>
        <v>#DIV/0!</v>
      </c>
      <c r="AW11" s="245" t="e">
        <f t="shared" si="6"/>
        <v>#DIV/0!</v>
      </c>
      <c r="AX11" s="245" t="e">
        <f t="shared" si="7"/>
        <v>#DIV/0!</v>
      </c>
      <c r="AY11" s="59">
        <f t="shared" si="8"/>
        <v>-80</v>
      </c>
    </row>
    <row r="12" spans="1:51" ht="18.75" customHeight="1">
      <c r="A12" s="147">
        <v>9</v>
      </c>
      <c r="B12" s="135" t="str">
        <f>VLOOKUP(A12,緊急聯絡!A$2:C$27,3,0)</f>
        <v>吳承哲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 t="e">
        <f t="shared" si="0"/>
        <v>#DIV/0!</v>
      </c>
      <c r="M12" s="243">
        <v>53</v>
      </c>
      <c r="N12" s="245">
        <v>62</v>
      </c>
      <c r="O12" s="245">
        <v>82</v>
      </c>
      <c r="P12" s="245">
        <v>75</v>
      </c>
      <c r="Q12" s="245"/>
      <c r="R12" s="245"/>
      <c r="S12" s="245"/>
      <c r="T12" s="245"/>
      <c r="U12" s="245"/>
      <c r="V12" s="245"/>
      <c r="W12" s="245">
        <f t="shared" si="1"/>
        <v>68</v>
      </c>
      <c r="X12" s="245"/>
      <c r="Y12" s="245"/>
      <c r="Z12" s="245"/>
      <c r="AA12" s="245"/>
      <c r="AB12" s="245"/>
      <c r="AC12" s="245"/>
      <c r="AD12" s="245"/>
      <c r="AE12" s="245"/>
      <c r="AF12" s="245"/>
      <c r="AG12" s="245" t="e">
        <f t="shared" si="2"/>
        <v>#DIV/0!</v>
      </c>
      <c r="AH12" s="245"/>
      <c r="AI12" s="245"/>
      <c r="AJ12" s="245"/>
      <c r="AK12" s="245"/>
      <c r="AL12" s="245"/>
      <c r="AM12" s="245"/>
      <c r="AN12" s="245"/>
      <c r="AO12" s="245"/>
      <c r="AP12" s="245"/>
      <c r="AQ12" s="245" t="e">
        <f t="shared" si="3"/>
        <v>#DIV/0!</v>
      </c>
      <c r="AR12" s="245" t="e">
        <f t="shared" si="4"/>
        <v>#DIV/0!</v>
      </c>
      <c r="AS12" s="245" t="e">
        <f t="shared" si="5"/>
        <v>#DIV/0!</v>
      </c>
      <c r="AT12" s="235">
        <v>99</v>
      </c>
      <c r="AU12" s="245"/>
      <c r="AV12" s="245" t="e">
        <f t="shared" si="6"/>
        <v>#DIV/0!</v>
      </c>
      <c r="AW12" s="245" t="e">
        <f t="shared" si="6"/>
        <v>#DIV/0!</v>
      </c>
      <c r="AX12" s="245" t="e">
        <f t="shared" si="7"/>
        <v>#DIV/0!</v>
      </c>
      <c r="AY12" s="59">
        <f t="shared" si="8"/>
        <v>-99</v>
      </c>
    </row>
    <row r="13" spans="1:51" ht="18.75" customHeight="1">
      <c r="A13" s="147">
        <v>10</v>
      </c>
      <c r="B13" s="135" t="str">
        <f>VLOOKUP(A13,緊急聯絡!A$2:C$27,3,0)</f>
        <v>李宥霆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 t="e">
        <f t="shared" si="0"/>
        <v>#DIV/0!</v>
      </c>
      <c r="M13" s="243">
        <v>92</v>
      </c>
      <c r="N13" s="245">
        <v>100</v>
      </c>
      <c r="O13" s="245">
        <v>89</v>
      </c>
      <c r="P13" s="245">
        <v>81</v>
      </c>
      <c r="Q13" s="245"/>
      <c r="R13" s="245"/>
      <c r="S13" s="245"/>
      <c r="T13" s="245"/>
      <c r="U13" s="245"/>
      <c r="V13" s="245"/>
      <c r="W13" s="245">
        <f t="shared" si="1"/>
        <v>90.5</v>
      </c>
      <c r="X13" s="245"/>
      <c r="Y13" s="245"/>
      <c r="Z13" s="245"/>
      <c r="AA13" s="245"/>
      <c r="AB13" s="245"/>
      <c r="AC13" s="245"/>
      <c r="AD13" s="245"/>
      <c r="AE13" s="245"/>
      <c r="AF13" s="245"/>
      <c r="AG13" s="245" t="e">
        <f t="shared" si="2"/>
        <v>#DIV/0!</v>
      </c>
      <c r="AH13" s="245"/>
      <c r="AI13" s="245"/>
      <c r="AJ13" s="245"/>
      <c r="AK13" s="245"/>
      <c r="AL13" s="245"/>
      <c r="AM13" s="245"/>
      <c r="AN13" s="245"/>
      <c r="AO13" s="245"/>
      <c r="AP13" s="245"/>
      <c r="AQ13" s="245" t="e">
        <f t="shared" si="3"/>
        <v>#DIV/0!</v>
      </c>
      <c r="AR13" s="245" t="e">
        <f t="shared" si="4"/>
        <v>#DIV/0!</v>
      </c>
      <c r="AS13" s="245" t="e">
        <f t="shared" si="5"/>
        <v>#DIV/0!</v>
      </c>
      <c r="AT13" s="235">
        <v>54</v>
      </c>
      <c r="AU13" s="245"/>
      <c r="AV13" s="245" t="e">
        <f t="shared" si="6"/>
        <v>#DIV/0!</v>
      </c>
      <c r="AW13" s="245" t="e">
        <f t="shared" si="6"/>
        <v>#DIV/0!</v>
      </c>
      <c r="AX13" s="245" t="e">
        <f t="shared" si="7"/>
        <v>#DIV/0!</v>
      </c>
      <c r="AY13" s="59">
        <f t="shared" si="8"/>
        <v>-54</v>
      </c>
    </row>
    <row r="14" spans="1:51" ht="18.75" customHeight="1">
      <c r="A14" s="147">
        <v>11</v>
      </c>
      <c r="B14" s="135" t="str">
        <f>VLOOKUP(A14,緊急聯絡!A$2:C$27,3,0)</f>
        <v>柯皓哲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 t="e">
        <f t="shared" si="0"/>
        <v>#DIV/0!</v>
      </c>
      <c r="M14" s="243">
        <v>91</v>
      </c>
      <c r="N14" s="245">
        <v>79</v>
      </c>
      <c r="O14" s="245">
        <v>93</v>
      </c>
      <c r="P14" s="245">
        <v>66</v>
      </c>
      <c r="Q14" s="245"/>
      <c r="R14" s="245"/>
      <c r="S14" s="245"/>
      <c r="T14" s="245"/>
      <c r="U14" s="245"/>
      <c r="V14" s="245"/>
      <c r="W14" s="245">
        <f t="shared" si="1"/>
        <v>82.25</v>
      </c>
      <c r="X14" s="245"/>
      <c r="Y14" s="245"/>
      <c r="Z14" s="245"/>
      <c r="AA14" s="245"/>
      <c r="AB14" s="245"/>
      <c r="AC14" s="245"/>
      <c r="AD14" s="245"/>
      <c r="AE14" s="245"/>
      <c r="AF14" s="245"/>
      <c r="AG14" s="245" t="e">
        <f t="shared" si="2"/>
        <v>#DIV/0!</v>
      </c>
      <c r="AH14" s="245"/>
      <c r="AI14" s="245"/>
      <c r="AJ14" s="245"/>
      <c r="AK14" s="245"/>
      <c r="AL14" s="245"/>
      <c r="AM14" s="245"/>
      <c r="AN14" s="245"/>
      <c r="AO14" s="245"/>
      <c r="AP14" s="245"/>
      <c r="AQ14" s="245" t="e">
        <f t="shared" si="3"/>
        <v>#DIV/0!</v>
      </c>
      <c r="AR14" s="245" t="e">
        <f t="shared" si="4"/>
        <v>#DIV/0!</v>
      </c>
      <c r="AS14" s="245" t="e">
        <f t="shared" si="5"/>
        <v>#DIV/0!</v>
      </c>
      <c r="AT14" s="235">
        <v>90</v>
      </c>
      <c r="AU14" s="245"/>
      <c r="AV14" s="245" t="e">
        <f t="shared" si="6"/>
        <v>#DIV/0!</v>
      </c>
      <c r="AW14" s="245" t="e">
        <f t="shared" si="6"/>
        <v>#DIV/0!</v>
      </c>
      <c r="AX14" s="245" t="e">
        <f t="shared" si="7"/>
        <v>#DIV/0!</v>
      </c>
      <c r="AY14" s="59">
        <f t="shared" si="8"/>
        <v>-90</v>
      </c>
    </row>
    <row r="15" spans="1:51" ht="18.75" customHeight="1">
      <c r="A15" s="147">
        <v>12</v>
      </c>
      <c r="B15" s="135" t="str">
        <f>VLOOKUP(A15,緊急聯絡!A$2:C$27,3,0)</f>
        <v>魏宇謙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 t="e">
        <f t="shared" si="0"/>
        <v>#DIV/0!</v>
      </c>
      <c r="M15" s="243">
        <v>98</v>
      </c>
      <c r="N15" s="245">
        <v>86</v>
      </c>
      <c r="O15" s="245">
        <v>87</v>
      </c>
      <c r="P15" s="245">
        <v>81</v>
      </c>
      <c r="Q15" s="245"/>
      <c r="R15" s="245"/>
      <c r="S15" s="245"/>
      <c r="T15" s="245"/>
      <c r="U15" s="245"/>
      <c r="V15" s="245"/>
      <c r="W15" s="245">
        <f t="shared" si="1"/>
        <v>88</v>
      </c>
      <c r="X15" s="245"/>
      <c r="Y15" s="245"/>
      <c r="Z15" s="245"/>
      <c r="AA15" s="245"/>
      <c r="AB15" s="245"/>
      <c r="AC15" s="245"/>
      <c r="AD15" s="245"/>
      <c r="AE15" s="245"/>
      <c r="AF15" s="245"/>
      <c r="AG15" s="245" t="e">
        <f t="shared" si="2"/>
        <v>#DIV/0!</v>
      </c>
      <c r="AH15" s="245"/>
      <c r="AI15" s="245"/>
      <c r="AJ15" s="245"/>
      <c r="AK15" s="245"/>
      <c r="AL15" s="245"/>
      <c r="AM15" s="245"/>
      <c r="AN15" s="245"/>
      <c r="AO15" s="245"/>
      <c r="AP15" s="245"/>
      <c r="AQ15" s="245" t="e">
        <f t="shared" si="3"/>
        <v>#DIV/0!</v>
      </c>
      <c r="AR15" s="245" t="e">
        <f t="shared" si="4"/>
        <v>#DIV/0!</v>
      </c>
      <c r="AS15" s="245" t="e">
        <f t="shared" si="5"/>
        <v>#DIV/0!</v>
      </c>
      <c r="AT15" s="235">
        <v>88</v>
      </c>
      <c r="AU15" s="245"/>
      <c r="AV15" s="245" t="e">
        <f t="shared" si="6"/>
        <v>#DIV/0!</v>
      </c>
      <c r="AW15" s="245" t="e">
        <f t="shared" si="6"/>
        <v>#DIV/0!</v>
      </c>
      <c r="AX15" s="245" t="e">
        <f t="shared" si="7"/>
        <v>#DIV/0!</v>
      </c>
      <c r="AY15" s="59">
        <f t="shared" si="8"/>
        <v>-88</v>
      </c>
    </row>
    <row r="16" spans="1:51" ht="18.75" customHeight="1">
      <c r="A16" s="147">
        <v>13</v>
      </c>
      <c r="B16" s="135" t="str">
        <f>VLOOKUP(A16,緊急聯絡!A$2:C$27,3,0)</f>
        <v>林季曄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 t="e">
        <f t="shared" si="0"/>
        <v>#DIV/0!</v>
      </c>
      <c r="M16" s="243">
        <v>92</v>
      </c>
      <c r="N16" s="245">
        <v>90</v>
      </c>
      <c r="O16" s="245">
        <v>85</v>
      </c>
      <c r="P16" s="245">
        <v>84</v>
      </c>
      <c r="Q16" s="245"/>
      <c r="R16" s="245"/>
      <c r="S16" s="245"/>
      <c r="T16" s="245"/>
      <c r="U16" s="245"/>
      <c r="V16" s="245"/>
      <c r="W16" s="245">
        <f t="shared" si="1"/>
        <v>87.75</v>
      </c>
      <c r="X16" s="245"/>
      <c r="Y16" s="245"/>
      <c r="Z16" s="245"/>
      <c r="AA16" s="245"/>
      <c r="AB16" s="245"/>
      <c r="AC16" s="245"/>
      <c r="AD16" s="245"/>
      <c r="AE16" s="245"/>
      <c r="AF16" s="245"/>
      <c r="AG16" s="245" t="e">
        <f t="shared" si="2"/>
        <v>#DIV/0!</v>
      </c>
      <c r="AH16" s="245"/>
      <c r="AI16" s="245"/>
      <c r="AJ16" s="245"/>
      <c r="AK16" s="245"/>
      <c r="AL16" s="245"/>
      <c r="AM16" s="245"/>
      <c r="AN16" s="245"/>
      <c r="AO16" s="245"/>
      <c r="AP16" s="245"/>
      <c r="AQ16" s="245" t="e">
        <f t="shared" si="3"/>
        <v>#DIV/0!</v>
      </c>
      <c r="AR16" s="245" t="e">
        <f t="shared" si="4"/>
        <v>#DIV/0!</v>
      </c>
      <c r="AS16" s="245" t="e">
        <f t="shared" si="5"/>
        <v>#DIV/0!</v>
      </c>
      <c r="AT16" s="235">
        <v>85</v>
      </c>
      <c r="AU16" s="245"/>
      <c r="AV16" s="245" t="e">
        <f t="shared" si="6"/>
        <v>#DIV/0!</v>
      </c>
      <c r="AW16" s="245" t="e">
        <f t="shared" si="6"/>
        <v>#DIV/0!</v>
      </c>
      <c r="AX16" s="245" t="e">
        <f t="shared" si="7"/>
        <v>#DIV/0!</v>
      </c>
      <c r="AY16" s="59">
        <f t="shared" si="8"/>
        <v>-85</v>
      </c>
    </row>
    <row r="17" spans="1:51" ht="18.75" customHeight="1">
      <c r="A17" s="147">
        <v>14</v>
      </c>
      <c r="B17" s="135" t="str">
        <f>VLOOKUP(A17,緊急聯絡!A$2:C$27,3,0)</f>
        <v>高翊庭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 t="e">
        <f t="shared" si="0"/>
        <v>#DIV/0!</v>
      </c>
      <c r="M17" s="243">
        <v>97</v>
      </c>
      <c r="N17" s="245">
        <v>86</v>
      </c>
      <c r="O17" s="245">
        <v>93</v>
      </c>
      <c r="P17" s="245">
        <v>84</v>
      </c>
      <c r="Q17" s="245"/>
      <c r="R17" s="245"/>
      <c r="S17" s="245"/>
      <c r="T17" s="245"/>
      <c r="U17" s="245"/>
      <c r="V17" s="245"/>
      <c r="W17" s="245">
        <f t="shared" si="1"/>
        <v>90</v>
      </c>
      <c r="X17" s="245"/>
      <c r="Y17" s="245"/>
      <c r="Z17" s="245"/>
      <c r="AA17" s="245"/>
      <c r="AB17" s="245"/>
      <c r="AC17" s="245"/>
      <c r="AD17" s="245"/>
      <c r="AE17" s="245"/>
      <c r="AF17" s="245"/>
      <c r="AG17" s="245" t="e">
        <f t="shared" si="2"/>
        <v>#DIV/0!</v>
      </c>
      <c r="AH17" s="245"/>
      <c r="AI17" s="245"/>
      <c r="AJ17" s="245"/>
      <c r="AK17" s="245"/>
      <c r="AL17" s="245"/>
      <c r="AM17" s="245"/>
      <c r="AN17" s="245"/>
      <c r="AO17" s="245"/>
      <c r="AP17" s="245"/>
      <c r="AQ17" s="245" t="e">
        <f t="shared" si="3"/>
        <v>#DIV/0!</v>
      </c>
      <c r="AR17" s="245" t="e">
        <f t="shared" si="4"/>
        <v>#DIV/0!</v>
      </c>
      <c r="AS17" s="245" t="e">
        <f t="shared" si="5"/>
        <v>#DIV/0!</v>
      </c>
      <c r="AT17" s="235">
        <v>99</v>
      </c>
      <c r="AU17" s="245"/>
      <c r="AV17" s="245" t="e">
        <f t="shared" si="6"/>
        <v>#DIV/0!</v>
      </c>
      <c r="AW17" s="245" t="e">
        <f t="shared" si="6"/>
        <v>#DIV/0!</v>
      </c>
      <c r="AX17" s="245" t="e">
        <f t="shared" si="7"/>
        <v>#DIV/0!</v>
      </c>
      <c r="AY17" s="59">
        <f t="shared" si="8"/>
        <v>-99</v>
      </c>
    </row>
    <row r="18" spans="1:51" ht="18.75" customHeight="1">
      <c r="A18" s="147">
        <v>15</v>
      </c>
      <c r="B18" s="135" t="str">
        <f>VLOOKUP(A18,緊急聯絡!A$2:C$27,3,0)</f>
        <v>藍彩華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 t="e">
        <f t="shared" si="0"/>
        <v>#DIV/0!</v>
      </c>
      <c r="M18" s="243">
        <v>97</v>
      </c>
      <c r="N18" s="245">
        <v>98</v>
      </c>
      <c r="O18" s="245">
        <v>97</v>
      </c>
      <c r="P18" s="245">
        <v>97</v>
      </c>
      <c r="Q18" s="245"/>
      <c r="R18" s="245"/>
      <c r="S18" s="245"/>
      <c r="T18" s="245"/>
      <c r="U18" s="245"/>
      <c r="V18" s="245"/>
      <c r="W18" s="245">
        <f t="shared" si="1"/>
        <v>97.25</v>
      </c>
      <c r="X18" s="245"/>
      <c r="Y18" s="245"/>
      <c r="Z18" s="245"/>
      <c r="AA18" s="245"/>
      <c r="AB18" s="245"/>
      <c r="AC18" s="245"/>
      <c r="AD18" s="245"/>
      <c r="AE18" s="245"/>
      <c r="AF18" s="245"/>
      <c r="AG18" s="245" t="e">
        <f t="shared" si="2"/>
        <v>#DIV/0!</v>
      </c>
      <c r="AH18" s="245"/>
      <c r="AI18" s="245"/>
      <c r="AJ18" s="245"/>
      <c r="AK18" s="245"/>
      <c r="AL18" s="245"/>
      <c r="AM18" s="245"/>
      <c r="AN18" s="245"/>
      <c r="AO18" s="245"/>
      <c r="AP18" s="245"/>
      <c r="AQ18" s="245" t="e">
        <f t="shared" si="3"/>
        <v>#DIV/0!</v>
      </c>
      <c r="AR18" s="245" t="e">
        <f t="shared" si="4"/>
        <v>#DIV/0!</v>
      </c>
      <c r="AS18" s="245" t="e">
        <f t="shared" si="5"/>
        <v>#DIV/0!</v>
      </c>
      <c r="AT18" s="235">
        <v>98</v>
      </c>
      <c r="AU18" s="245"/>
      <c r="AV18" s="245" t="e">
        <f t="shared" si="6"/>
        <v>#DIV/0!</v>
      </c>
      <c r="AW18" s="245" t="e">
        <f t="shared" si="6"/>
        <v>#DIV/0!</v>
      </c>
      <c r="AX18" s="245" t="e">
        <f t="shared" si="7"/>
        <v>#DIV/0!</v>
      </c>
      <c r="AY18" s="59">
        <f t="shared" si="8"/>
        <v>-98</v>
      </c>
    </row>
    <row r="19" spans="1:51" ht="18.75" customHeight="1">
      <c r="A19" s="147">
        <v>16</v>
      </c>
      <c r="B19" s="135" t="str">
        <f>VLOOKUP(A19,緊急聯絡!A$2:C$27,3,0)</f>
        <v>曾琛晞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 t="e">
        <f t="shared" si="0"/>
        <v>#DIV/0!</v>
      </c>
      <c r="M19" s="243">
        <v>86</v>
      </c>
      <c r="N19" s="245">
        <v>80</v>
      </c>
      <c r="O19" s="245">
        <v>97</v>
      </c>
      <c r="P19" s="245">
        <v>84</v>
      </c>
      <c r="Q19" s="245"/>
      <c r="R19" s="245"/>
      <c r="S19" s="245"/>
      <c r="T19" s="245"/>
      <c r="U19" s="245"/>
      <c r="V19" s="245"/>
      <c r="W19" s="245">
        <f t="shared" si="1"/>
        <v>86.75</v>
      </c>
      <c r="X19" s="245"/>
      <c r="Y19" s="245"/>
      <c r="Z19" s="245"/>
      <c r="AA19" s="245"/>
      <c r="AB19" s="245"/>
      <c r="AC19" s="245"/>
      <c r="AD19" s="245"/>
      <c r="AE19" s="245"/>
      <c r="AF19" s="245"/>
      <c r="AG19" s="245" t="e">
        <f t="shared" si="2"/>
        <v>#DIV/0!</v>
      </c>
      <c r="AH19" s="245"/>
      <c r="AI19" s="245"/>
      <c r="AJ19" s="245"/>
      <c r="AK19" s="245"/>
      <c r="AL19" s="245"/>
      <c r="AM19" s="245"/>
      <c r="AN19" s="245"/>
      <c r="AO19" s="245"/>
      <c r="AP19" s="245"/>
      <c r="AQ19" s="245" t="e">
        <f t="shared" si="3"/>
        <v>#DIV/0!</v>
      </c>
      <c r="AR19" s="245" t="e">
        <f t="shared" si="4"/>
        <v>#DIV/0!</v>
      </c>
      <c r="AS19" s="245" t="e">
        <f t="shared" si="5"/>
        <v>#DIV/0!</v>
      </c>
      <c r="AT19" s="235">
        <v>95</v>
      </c>
      <c r="AU19" s="245"/>
      <c r="AV19" s="245" t="e">
        <f t="shared" si="6"/>
        <v>#DIV/0!</v>
      </c>
      <c r="AW19" s="245" t="e">
        <f t="shared" si="6"/>
        <v>#DIV/0!</v>
      </c>
      <c r="AX19" s="245" t="e">
        <f t="shared" si="7"/>
        <v>#DIV/0!</v>
      </c>
      <c r="AY19" s="59">
        <f t="shared" si="8"/>
        <v>-95</v>
      </c>
    </row>
    <row r="20" spans="1:51" ht="18.75" customHeight="1">
      <c r="A20" s="147">
        <v>17</v>
      </c>
      <c r="B20" s="135" t="str">
        <f>VLOOKUP(A20,緊急聯絡!A$2:C$27,3,0)</f>
        <v>張智函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 t="e">
        <f t="shared" si="0"/>
        <v>#DIV/0!</v>
      </c>
      <c r="M20" s="243">
        <v>100</v>
      </c>
      <c r="N20" s="245">
        <v>99</v>
      </c>
      <c r="O20" s="245">
        <v>97</v>
      </c>
      <c r="P20" s="245">
        <v>100</v>
      </c>
      <c r="Q20" s="245"/>
      <c r="R20" s="245"/>
      <c r="S20" s="245"/>
      <c r="T20" s="245"/>
      <c r="U20" s="245"/>
      <c r="V20" s="245"/>
      <c r="W20" s="245">
        <f t="shared" si="1"/>
        <v>99</v>
      </c>
      <c r="X20" s="245"/>
      <c r="Y20" s="245"/>
      <c r="Z20" s="245"/>
      <c r="AA20" s="245"/>
      <c r="AB20" s="245"/>
      <c r="AC20" s="245"/>
      <c r="AD20" s="245"/>
      <c r="AE20" s="245"/>
      <c r="AF20" s="245"/>
      <c r="AG20" s="245" t="e">
        <f t="shared" si="2"/>
        <v>#DIV/0!</v>
      </c>
      <c r="AH20" s="245"/>
      <c r="AI20" s="245"/>
      <c r="AJ20" s="245"/>
      <c r="AK20" s="245"/>
      <c r="AL20" s="245"/>
      <c r="AM20" s="245"/>
      <c r="AN20" s="245"/>
      <c r="AO20" s="245"/>
      <c r="AP20" s="245"/>
      <c r="AQ20" s="245" t="e">
        <f t="shared" si="3"/>
        <v>#DIV/0!</v>
      </c>
      <c r="AR20" s="245" t="e">
        <f t="shared" si="4"/>
        <v>#DIV/0!</v>
      </c>
      <c r="AS20" s="245" t="e">
        <f t="shared" si="5"/>
        <v>#DIV/0!</v>
      </c>
      <c r="AT20" s="235">
        <v>71</v>
      </c>
      <c r="AU20" s="245"/>
      <c r="AV20" s="245" t="e">
        <f t="shared" si="6"/>
        <v>#DIV/0!</v>
      </c>
      <c r="AW20" s="245" t="e">
        <f t="shared" si="6"/>
        <v>#DIV/0!</v>
      </c>
      <c r="AX20" s="245" t="e">
        <f t="shared" si="7"/>
        <v>#DIV/0!</v>
      </c>
      <c r="AY20" s="59">
        <f t="shared" si="8"/>
        <v>-71</v>
      </c>
    </row>
    <row r="21" spans="1:51" ht="18.75" customHeight="1">
      <c r="A21" s="147">
        <v>18</v>
      </c>
      <c r="B21" s="135" t="str">
        <f>VLOOKUP(A21,緊急聯絡!A$2:C$27,3,0)</f>
        <v>許凌菲</v>
      </c>
      <c r="C21" s="245"/>
      <c r="D21" s="245"/>
      <c r="E21" s="245"/>
      <c r="F21" s="245"/>
      <c r="G21" s="245"/>
      <c r="H21" s="245"/>
      <c r="I21" s="245"/>
      <c r="J21" s="245"/>
      <c r="K21" s="245"/>
      <c r="L21" s="245" t="e">
        <f t="shared" si="0"/>
        <v>#DIV/0!</v>
      </c>
      <c r="M21" s="243">
        <v>90</v>
      </c>
      <c r="N21" s="245">
        <v>93</v>
      </c>
      <c r="O21" s="245">
        <v>90</v>
      </c>
      <c r="P21" s="245">
        <v>87</v>
      </c>
      <c r="Q21" s="245"/>
      <c r="R21" s="245"/>
      <c r="S21" s="245"/>
      <c r="T21" s="245"/>
      <c r="U21" s="245"/>
      <c r="V21" s="245"/>
      <c r="W21" s="245">
        <f t="shared" si="1"/>
        <v>90</v>
      </c>
      <c r="X21" s="245"/>
      <c r="Y21" s="245"/>
      <c r="Z21" s="245"/>
      <c r="AA21" s="245"/>
      <c r="AB21" s="245"/>
      <c r="AC21" s="245"/>
      <c r="AD21" s="245"/>
      <c r="AE21" s="245"/>
      <c r="AF21" s="245"/>
      <c r="AG21" s="245" t="e">
        <f t="shared" si="2"/>
        <v>#DIV/0!</v>
      </c>
      <c r="AH21" s="245"/>
      <c r="AI21" s="245"/>
      <c r="AJ21" s="245"/>
      <c r="AK21" s="245"/>
      <c r="AL21" s="245"/>
      <c r="AM21" s="245"/>
      <c r="AN21" s="245"/>
      <c r="AO21" s="245"/>
      <c r="AP21" s="245"/>
      <c r="AQ21" s="245" t="e">
        <f t="shared" si="3"/>
        <v>#DIV/0!</v>
      </c>
      <c r="AR21" s="245" t="e">
        <f t="shared" si="4"/>
        <v>#DIV/0!</v>
      </c>
      <c r="AS21" s="245" t="e">
        <f t="shared" si="5"/>
        <v>#DIV/0!</v>
      </c>
      <c r="AT21" s="235">
        <v>90</v>
      </c>
      <c r="AU21" s="245"/>
      <c r="AV21" s="245" t="e">
        <f t="shared" si="6"/>
        <v>#DIV/0!</v>
      </c>
      <c r="AW21" s="245" t="e">
        <f t="shared" si="6"/>
        <v>#DIV/0!</v>
      </c>
      <c r="AX21" s="245" t="e">
        <f t="shared" si="7"/>
        <v>#DIV/0!</v>
      </c>
      <c r="AY21" s="59">
        <f t="shared" si="8"/>
        <v>-90</v>
      </c>
    </row>
    <row r="22" spans="1:51" ht="18.75" customHeight="1">
      <c r="A22" s="147">
        <v>19</v>
      </c>
      <c r="B22" s="135" t="str">
        <f>VLOOKUP(A22,緊急聯絡!A$2:C$27,3,0)</f>
        <v>吳羽棠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 t="e">
        <f t="shared" si="0"/>
        <v>#DIV/0!</v>
      </c>
      <c r="M22" s="243">
        <v>81</v>
      </c>
      <c r="N22" s="245">
        <v>92</v>
      </c>
      <c r="O22" s="245">
        <v>89</v>
      </c>
      <c r="P22" s="245">
        <v>72</v>
      </c>
      <c r="Q22" s="245"/>
      <c r="R22" s="245"/>
      <c r="S22" s="245"/>
      <c r="T22" s="245"/>
      <c r="U22" s="245"/>
      <c r="V22" s="245"/>
      <c r="W22" s="245">
        <f t="shared" si="1"/>
        <v>83.5</v>
      </c>
      <c r="X22" s="245"/>
      <c r="Y22" s="245"/>
      <c r="Z22" s="245"/>
      <c r="AA22" s="245"/>
      <c r="AB22" s="245"/>
      <c r="AC22" s="245"/>
      <c r="AD22" s="245"/>
      <c r="AE22" s="245"/>
      <c r="AF22" s="245"/>
      <c r="AG22" s="245" t="e">
        <f t="shared" si="2"/>
        <v>#DIV/0!</v>
      </c>
      <c r="AH22" s="245"/>
      <c r="AI22" s="245"/>
      <c r="AJ22" s="245"/>
      <c r="AK22" s="245"/>
      <c r="AL22" s="245"/>
      <c r="AM22" s="245"/>
      <c r="AN22" s="245"/>
      <c r="AO22" s="245"/>
      <c r="AP22" s="245"/>
      <c r="AQ22" s="245" t="e">
        <f t="shared" si="3"/>
        <v>#DIV/0!</v>
      </c>
      <c r="AR22" s="245" t="e">
        <f t="shared" si="4"/>
        <v>#DIV/0!</v>
      </c>
      <c r="AS22" s="245" t="e">
        <f t="shared" si="5"/>
        <v>#DIV/0!</v>
      </c>
      <c r="AT22" s="235">
        <v>68</v>
      </c>
      <c r="AU22" s="245"/>
      <c r="AV22" s="245" t="e">
        <f t="shared" si="6"/>
        <v>#DIV/0!</v>
      </c>
      <c r="AW22" s="245" t="e">
        <f t="shared" si="6"/>
        <v>#DIV/0!</v>
      </c>
      <c r="AX22" s="245" t="e">
        <f t="shared" si="7"/>
        <v>#DIV/0!</v>
      </c>
      <c r="AY22" s="59">
        <f t="shared" si="8"/>
        <v>-68</v>
      </c>
    </row>
    <row r="23" spans="1:51" ht="18.75" customHeight="1">
      <c r="A23" s="147">
        <v>20</v>
      </c>
      <c r="B23" s="135" t="str">
        <f>VLOOKUP(A23,緊急聯絡!A$2:C$27,3,0)</f>
        <v>蔡羽媗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 t="e">
        <f t="shared" si="0"/>
        <v>#DIV/0!</v>
      </c>
      <c r="M23" s="243">
        <v>93</v>
      </c>
      <c r="N23" s="245">
        <v>82</v>
      </c>
      <c r="O23" s="245">
        <v>98</v>
      </c>
      <c r="P23" s="245">
        <v>90</v>
      </c>
      <c r="Q23" s="245"/>
      <c r="R23" s="245"/>
      <c r="S23" s="245"/>
      <c r="T23" s="245"/>
      <c r="U23" s="245"/>
      <c r="V23" s="245"/>
      <c r="W23" s="245">
        <f t="shared" si="1"/>
        <v>90.75</v>
      </c>
      <c r="X23" s="245"/>
      <c r="Y23" s="245"/>
      <c r="Z23" s="245"/>
      <c r="AA23" s="245"/>
      <c r="AB23" s="245"/>
      <c r="AC23" s="245"/>
      <c r="AD23" s="245"/>
      <c r="AE23" s="245"/>
      <c r="AF23" s="245"/>
      <c r="AG23" s="245" t="e">
        <f t="shared" si="2"/>
        <v>#DIV/0!</v>
      </c>
      <c r="AH23" s="245"/>
      <c r="AI23" s="245"/>
      <c r="AJ23" s="245"/>
      <c r="AK23" s="245"/>
      <c r="AL23" s="245"/>
      <c r="AM23" s="245"/>
      <c r="AN23" s="245"/>
      <c r="AO23" s="245"/>
      <c r="AP23" s="245"/>
      <c r="AQ23" s="245" t="e">
        <f t="shared" si="3"/>
        <v>#DIV/0!</v>
      </c>
      <c r="AR23" s="245" t="e">
        <f t="shared" si="4"/>
        <v>#DIV/0!</v>
      </c>
      <c r="AS23" s="245" t="e">
        <f t="shared" si="5"/>
        <v>#DIV/0!</v>
      </c>
      <c r="AT23" s="235">
        <v>92</v>
      </c>
      <c r="AU23" s="245"/>
      <c r="AV23" s="245" t="e">
        <f t="shared" si="6"/>
        <v>#DIV/0!</v>
      </c>
      <c r="AW23" s="245" t="e">
        <f t="shared" si="6"/>
        <v>#DIV/0!</v>
      </c>
      <c r="AX23" s="245" t="e">
        <f t="shared" si="7"/>
        <v>#DIV/0!</v>
      </c>
      <c r="AY23" s="59">
        <f t="shared" si="8"/>
        <v>-92</v>
      </c>
    </row>
    <row r="24" spans="1:51" ht="18.75" customHeight="1">
      <c r="A24" s="147">
        <v>21</v>
      </c>
      <c r="B24" s="135" t="str">
        <f>VLOOKUP(A24,緊急聯絡!A$2:C$27,3,0)</f>
        <v>楊筱歆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5" t="e">
        <f t="shared" si="0"/>
        <v>#DIV/0!</v>
      </c>
      <c r="M24" s="243">
        <v>60</v>
      </c>
      <c r="N24" s="245">
        <v>16</v>
      </c>
      <c r="O24" s="245">
        <v>80</v>
      </c>
      <c r="P24" s="245">
        <v>21</v>
      </c>
      <c r="Q24" s="245"/>
      <c r="R24" s="245"/>
      <c r="S24" s="245"/>
      <c r="T24" s="245"/>
      <c r="U24" s="245"/>
      <c r="V24" s="245"/>
      <c r="W24" s="245">
        <f t="shared" si="1"/>
        <v>44.25</v>
      </c>
      <c r="X24" s="245"/>
      <c r="Y24" s="245"/>
      <c r="Z24" s="245"/>
      <c r="AA24" s="245"/>
      <c r="AB24" s="245"/>
      <c r="AC24" s="245"/>
      <c r="AD24" s="245"/>
      <c r="AE24" s="245"/>
      <c r="AF24" s="245"/>
      <c r="AG24" s="245" t="e">
        <f t="shared" si="2"/>
        <v>#DIV/0!</v>
      </c>
      <c r="AH24" s="245"/>
      <c r="AI24" s="245"/>
      <c r="AJ24" s="245"/>
      <c r="AK24" s="245"/>
      <c r="AL24" s="245"/>
      <c r="AM24" s="245"/>
      <c r="AN24" s="245"/>
      <c r="AO24" s="245"/>
      <c r="AP24" s="245"/>
      <c r="AQ24" s="245" t="e">
        <f t="shared" si="3"/>
        <v>#DIV/0!</v>
      </c>
      <c r="AR24" s="245" t="e">
        <f t="shared" si="4"/>
        <v>#DIV/0!</v>
      </c>
      <c r="AS24" s="245" t="e">
        <f t="shared" si="5"/>
        <v>#DIV/0!</v>
      </c>
      <c r="AT24" s="235">
        <v>95</v>
      </c>
      <c r="AU24" s="245"/>
      <c r="AV24" s="245" t="e">
        <f t="shared" si="6"/>
        <v>#DIV/0!</v>
      </c>
      <c r="AW24" s="245" t="e">
        <f t="shared" si="6"/>
        <v>#DIV/0!</v>
      </c>
      <c r="AX24" s="245" t="e">
        <f t="shared" si="7"/>
        <v>#DIV/0!</v>
      </c>
      <c r="AY24" s="59">
        <f t="shared" si="8"/>
        <v>-95</v>
      </c>
    </row>
    <row r="25" spans="1:51" ht="18.75" customHeight="1">
      <c r="A25" s="147">
        <v>22</v>
      </c>
      <c r="B25" s="135" t="str">
        <f>VLOOKUP(A25,緊急聯絡!A$2:C$27,3,0)</f>
        <v>邱詩涵</v>
      </c>
      <c r="C25" s="245"/>
      <c r="D25" s="245"/>
      <c r="E25" s="245"/>
      <c r="F25" s="245"/>
      <c r="G25" s="245"/>
      <c r="H25" s="245"/>
      <c r="I25" s="245"/>
      <c r="J25" s="245"/>
      <c r="K25" s="245"/>
      <c r="L25" s="245" t="e">
        <f t="shared" si="0"/>
        <v>#DIV/0!</v>
      </c>
      <c r="M25" s="243">
        <v>93</v>
      </c>
      <c r="N25" s="245">
        <v>90</v>
      </c>
      <c r="O25" s="245">
        <v>90</v>
      </c>
      <c r="P25" s="245">
        <v>90</v>
      </c>
      <c r="Q25" s="245"/>
      <c r="R25" s="245"/>
      <c r="S25" s="245"/>
      <c r="T25" s="245"/>
      <c r="U25" s="245"/>
      <c r="V25" s="245"/>
      <c r="W25" s="245">
        <f t="shared" si="1"/>
        <v>90.75</v>
      </c>
      <c r="X25" s="245"/>
      <c r="Y25" s="245"/>
      <c r="Z25" s="245"/>
      <c r="AA25" s="245"/>
      <c r="AB25" s="245"/>
      <c r="AC25" s="245"/>
      <c r="AD25" s="245"/>
      <c r="AE25" s="245"/>
      <c r="AF25" s="245"/>
      <c r="AG25" s="245" t="e">
        <f t="shared" si="2"/>
        <v>#DIV/0!</v>
      </c>
      <c r="AH25" s="245"/>
      <c r="AI25" s="245"/>
      <c r="AJ25" s="245"/>
      <c r="AK25" s="245"/>
      <c r="AL25" s="245"/>
      <c r="AM25" s="245"/>
      <c r="AN25" s="245"/>
      <c r="AO25" s="245"/>
      <c r="AP25" s="245"/>
      <c r="AQ25" s="245" t="e">
        <f t="shared" si="3"/>
        <v>#DIV/0!</v>
      </c>
      <c r="AR25" s="245" t="e">
        <f t="shared" si="4"/>
        <v>#DIV/0!</v>
      </c>
      <c r="AS25" s="245" t="e">
        <f t="shared" si="5"/>
        <v>#DIV/0!</v>
      </c>
      <c r="AT25" s="235">
        <v>88</v>
      </c>
      <c r="AU25" s="245"/>
      <c r="AV25" s="245" t="e">
        <f t="shared" si="6"/>
        <v>#DIV/0!</v>
      </c>
      <c r="AW25" s="245" t="e">
        <f t="shared" si="6"/>
        <v>#DIV/0!</v>
      </c>
      <c r="AX25" s="245" t="e">
        <f t="shared" si="7"/>
        <v>#DIV/0!</v>
      </c>
      <c r="AY25" s="59">
        <f t="shared" si="8"/>
        <v>-88</v>
      </c>
    </row>
    <row r="26" spans="1:51" ht="18.75" customHeight="1">
      <c r="A26" s="147">
        <v>23</v>
      </c>
      <c r="B26" s="135" t="str">
        <f>VLOOKUP(A26,緊急聯絡!A$2:C$27,3,0)</f>
        <v>張涵甯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 t="e">
        <f t="shared" si="0"/>
        <v>#DIV/0!</v>
      </c>
      <c r="M26" s="243">
        <v>81</v>
      </c>
      <c r="N26" s="245">
        <v>64</v>
      </c>
      <c r="O26" s="245">
        <v>87</v>
      </c>
      <c r="P26" s="245">
        <v>66</v>
      </c>
      <c r="Q26" s="245"/>
      <c r="R26" s="245"/>
      <c r="S26" s="245"/>
      <c r="T26" s="245"/>
      <c r="U26" s="245"/>
      <c r="V26" s="245"/>
      <c r="W26" s="245">
        <f t="shared" si="1"/>
        <v>74.5</v>
      </c>
      <c r="X26" s="245"/>
      <c r="Y26" s="245"/>
      <c r="Z26" s="245"/>
      <c r="AA26" s="245"/>
      <c r="AB26" s="245"/>
      <c r="AC26" s="245"/>
      <c r="AD26" s="245"/>
      <c r="AE26" s="245"/>
      <c r="AF26" s="245"/>
      <c r="AG26" s="245" t="e">
        <f t="shared" si="2"/>
        <v>#DIV/0!</v>
      </c>
      <c r="AH26" s="245"/>
      <c r="AI26" s="245"/>
      <c r="AJ26" s="245"/>
      <c r="AK26" s="245"/>
      <c r="AL26" s="245"/>
      <c r="AM26" s="245"/>
      <c r="AN26" s="245"/>
      <c r="AO26" s="245"/>
      <c r="AP26" s="245"/>
      <c r="AQ26" s="245" t="e">
        <f t="shared" si="3"/>
        <v>#DIV/0!</v>
      </c>
      <c r="AR26" s="245" t="e">
        <f t="shared" si="4"/>
        <v>#DIV/0!</v>
      </c>
      <c r="AS26" s="245" t="e">
        <f t="shared" si="5"/>
        <v>#DIV/0!</v>
      </c>
      <c r="AT26" s="235">
        <v>84</v>
      </c>
      <c r="AU26" s="245"/>
      <c r="AV26" s="245" t="e">
        <f t="shared" si="6"/>
        <v>#DIV/0!</v>
      </c>
      <c r="AW26" s="245" t="e">
        <f t="shared" si="6"/>
        <v>#DIV/0!</v>
      </c>
      <c r="AX26" s="245" t="e">
        <f t="shared" si="7"/>
        <v>#DIV/0!</v>
      </c>
      <c r="AY26" s="59">
        <f t="shared" si="8"/>
        <v>-84</v>
      </c>
    </row>
    <row r="27" spans="1:51" ht="18.75" customHeight="1">
      <c r="A27" s="147">
        <v>24</v>
      </c>
      <c r="B27" s="135" t="str">
        <f>VLOOKUP(A27,緊急聯絡!A$2:C$27,3,0)</f>
        <v>王姿涵</v>
      </c>
      <c r="C27" s="245"/>
      <c r="D27" s="245"/>
      <c r="E27" s="245"/>
      <c r="F27" s="245"/>
      <c r="G27" s="245"/>
      <c r="H27" s="245"/>
      <c r="I27" s="245"/>
      <c r="J27" s="245"/>
      <c r="K27" s="245"/>
      <c r="L27" s="245" t="e">
        <f t="shared" si="0"/>
        <v>#DIV/0!</v>
      </c>
      <c r="M27" s="243">
        <v>96</v>
      </c>
      <c r="N27" s="245">
        <v>72</v>
      </c>
      <c r="O27" s="245">
        <v>81</v>
      </c>
      <c r="P27" s="245">
        <v>85</v>
      </c>
      <c r="Q27" s="245"/>
      <c r="R27" s="245"/>
      <c r="S27" s="245"/>
      <c r="T27" s="245"/>
      <c r="U27" s="245"/>
      <c r="V27" s="245"/>
      <c r="W27" s="245">
        <f t="shared" si="1"/>
        <v>83.5</v>
      </c>
      <c r="X27" s="245"/>
      <c r="Y27" s="245"/>
      <c r="Z27" s="245"/>
      <c r="AA27" s="245"/>
      <c r="AB27" s="245"/>
      <c r="AC27" s="245"/>
      <c r="AD27" s="245"/>
      <c r="AE27" s="245"/>
      <c r="AF27" s="245"/>
      <c r="AG27" s="245" t="e">
        <f t="shared" si="2"/>
        <v>#DIV/0!</v>
      </c>
      <c r="AH27" s="245"/>
      <c r="AI27" s="245"/>
      <c r="AJ27" s="245"/>
      <c r="AK27" s="245"/>
      <c r="AL27" s="245"/>
      <c r="AM27" s="245"/>
      <c r="AN27" s="245"/>
      <c r="AO27" s="245"/>
      <c r="AP27" s="245"/>
      <c r="AQ27" s="245" t="e">
        <f t="shared" si="3"/>
        <v>#DIV/0!</v>
      </c>
      <c r="AR27" s="245" t="e">
        <f t="shared" si="4"/>
        <v>#DIV/0!</v>
      </c>
      <c r="AS27" s="245" t="e">
        <f t="shared" si="5"/>
        <v>#DIV/0!</v>
      </c>
      <c r="AT27" s="235">
        <v>92</v>
      </c>
      <c r="AU27" s="245"/>
      <c r="AV27" s="245" t="e">
        <f t="shared" ref="AV27:AW29" si="9">AVERAGE(AR27,AT27)</f>
        <v>#DIV/0!</v>
      </c>
      <c r="AW27" s="245" t="e">
        <f t="shared" si="9"/>
        <v>#DIV/0!</v>
      </c>
      <c r="AX27" s="245" t="e">
        <f t="shared" si="7"/>
        <v>#DIV/0!</v>
      </c>
      <c r="AY27" s="59">
        <f>AU26-AT27</f>
        <v>-92</v>
      </c>
    </row>
    <row r="28" spans="1:51" ht="18.75" customHeight="1">
      <c r="A28" s="147">
        <v>25</v>
      </c>
      <c r="B28" s="135" t="str">
        <f>VLOOKUP(A28,緊急聯絡!A$2:C$27,3,0)</f>
        <v>林昱萱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 t="e">
        <f t="shared" si="0"/>
        <v>#DIV/0!</v>
      </c>
      <c r="M28" s="243">
        <v>88</v>
      </c>
      <c r="N28" s="245">
        <v>69</v>
      </c>
      <c r="O28" s="245">
        <v>97</v>
      </c>
      <c r="P28" s="245">
        <v>84</v>
      </c>
      <c r="Q28" s="245"/>
      <c r="R28" s="245"/>
      <c r="S28" s="245"/>
      <c r="T28" s="245"/>
      <c r="U28" s="245"/>
      <c r="V28" s="245"/>
      <c r="W28" s="245">
        <f t="shared" si="1"/>
        <v>84.5</v>
      </c>
      <c r="X28" s="245"/>
      <c r="Y28" s="245"/>
      <c r="Z28" s="245"/>
      <c r="AA28" s="245"/>
      <c r="AB28" s="245"/>
      <c r="AC28" s="245"/>
      <c r="AD28" s="245"/>
      <c r="AE28" s="245"/>
      <c r="AF28" s="245"/>
      <c r="AG28" s="245" t="e">
        <f t="shared" si="2"/>
        <v>#DIV/0!</v>
      </c>
      <c r="AH28" s="245"/>
      <c r="AI28" s="245"/>
      <c r="AJ28" s="245"/>
      <c r="AK28" s="245"/>
      <c r="AL28" s="245"/>
      <c r="AM28" s="245"/>
      <c r="AN28" s="245"/>
      <c r="AO28" s="245"/>
      <c r="AP28" s="245"/>
      <c r="AQ28" s="245" t="e">
        <f t="shared" si="3"/>
        <v>#DIV/0!</v>
      </c>
      <c r="AR28" s="245" t="e">
        <f t="shared" si="4"/>
        <v>#DIV/0!</v>
      </c>
      <c r="AS28" s="245" t="e">
        <f t="shared" si="5"/>
        <v>#DIV/0!</v>
      </c>
      <c r="AT28" s="235">
        <v>55</v>
      </c>
      <c r="AU28" s="245"/>
      <c r="AV28" s="245" t="e">
        <f t="shared" si="9"/>
        <v>#DIV/0!</v>
      </c>
      <c r="AW28" s="245" t="e">
        <f t="shared" si="9"/>
        <v>#DIV/0!</v>
      </c>
      <c r="AX28" s="245" t="e">
        <f t="shared" si="7"/>
        <v>#DIV/0!</v>
      </c>
      <c r="AY28" s="59">
        <f>AU26-AT28</f>
        <v>-55</v>
      </c>
    </row>
    <row r="29" spans="1:51" ht="18.75" customHeight="1">
      <c r="A29" s="147">
        <v>26</v>
      </c>
      <c r="B29" s="135" t="str">
        <f>VLOOKUP(A29,緊急聯絡!A$2:C$27,3,0)</f>
        <v>李文</v>
      </c>
      <c r="C29" s="245"/>
      <c r="D29" s="245"/>
      <c r="E29" s="245"/>
      <c r="F29" s="245"/>
      <c r="G29" s="245"/>
      <c r="H29" s="245"/>
      <c r="I29" s="245"/>
      <c r="J29" s="245"/>
      <c r="K29" s="245"/>
      <c r="L29" s="245" t="e">
        <f t="shared" si="0"/>
        <v>#DIV/0!</v>
      </c>
      <c r="M29" s="243">
        <v>83</v>
      </c>
      <c r="N29" s="245">
        <v>86</v>
      </c>
      <c r="O29" s="245">
        <v>85</v>
      </c>
      <c r="P29" s="245">
        <v>72</v>
      </c>
      <c r="Q29" s="245"/>
      <c r="R29" s="245"/>
      <c r="S29" s="245"/>
      <c r="T29" s="245"/>
      <c r="U29" s="245"/>
      <c r="V29" s="245"/>
      <c r="W29" s="245">
        <f t="shared" si="1"/>
        <v>81.5</v>
      </c>
      <c r="X29" s="245"/>
      <c r="Y29" s="245"/>
      <c r="Z29" s="245"/>
      <c r="AA29" s="245"/>
      <c r="AB29" s="245"/>
      <c r="AC29" s="245"/>
      <c r="AD29" s="245"/>
      <c r="AE29" s="245"/>
      <c r="AF29" s="245"/>
      <c r="AG29" s="245" t="e">
        <f t="shared" si="2"/>
        <v>#DIV/0!</v>
      </c>
      <c r="AH29" s="245"/>
      <c r="AI29" s="245"/>
      <c r="AJ29" s="245"/>
      <c r="AK29" s="245"/>
      <c r="AL29" s="245"/>
      <c r="AM29" s="245"/>
      <c r="AN29" s="245"/>
      <c r="AO29" s="245"/>
      <c r="AP29" s="245"/>
      <c r="AQ29" s="245" t="e">
        <f t="shared" si="3"/>
        <v>#DIV/0!</v>
      </c>
      <c r="AR29" s="245" t="e">
        <f t="shared" si="4"/>
        <v>#DIV/0!</v>
      </c>
      <c r="AS29" s="245" t="e">
        <f t="shared" si="5"/>
        <v>#DIV/0!</v>
      </c>
      <c r="AT29" s="235">
        <v>95</v>
      </c>
      <c r="AU29" s="245"/>
      <c r="AV29" s="245" t="e">
        <f t="shared" si="9"/>
        <v>#DIV/0!</v>
      </c>
      <c r="AW29" s="245" t="e">
        <f t="shared" si="9"/>
        <v>#DIV/0!</v>
      </c>
      <c r="AX29" s="245" t="e">
        <f t="shared" si="7"/>
        <v>#DIV/0!</v>
      </c>
      <c r="AY29" s="59">
        <f t="shared" si="8"/>
        <v>-95</v>
      </c>
    </row>
    <row r="30" spans="1:51" ht="18.75" customHeight="1">
      <c r="A30" s="147"/>
      <c r="B30" s="13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3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35"/>
      <c r="AU30" s="245"/>
      <c r="AV30" s="245"/>
      <c r="AW30" s="245"/>
      <c r="AX30" s="245"/>
    </row>
    <row r="31" spans="1:51" ht="18.75" customHeight="1">
      <c r="A31" s="147"/>
      <c r="B31" s="13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3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35"/>
      <c r="AU31" s="245"/>
      <c r="AV31" s="245"/>
      <c r="AW31" s="245"/>
      <c r="AX31" s="245"/>
    </row>
    <row r="32" spans="1:51" ht="18.75" customHeight="1">
      <c r="A32" s="60"/>
      <c r="B32" s="61" t="s">
        <v>214</v>
      </c>
      <c r="C32" s="60" t="e">
        <f>AVERAGE(C4:C31)</f>
        <v>#DIV/0!</v>
      </c>
      <c r="D32" s="60" t="e">
        <f t="shared" ref="D32:AX32" si="10">AVERAGE(D4:D31)</f>
        <v>#DIV/0!</v>
      </c>
      <c r="E32" s="60" t="e">
        <f t="shared" si="10"/>
        <v>#DIV/0!</v>
      </c>
      <c r="F32" s="60" t="e">
        <f t="shared" si="10"/>
        <v>#DIV/0!</v>
      </c>
      <c r="G32" s="60" t="e">
        <f t="shared" si="10"/>
        <v>#DIV/0!</v>
      </c>
      <c r="H32" s="60" t="e">
        <f t="shared" si="10"/>
        <v>#DIV/0!</v>
      </c>
      <c r="I32" s="60" t="e">
        <f t="shared" si="10"/>
        <v>#DIV/0!</v>
      </c>
      <c r="J32" s="60" t="e">
        <f t="shared" si="10"/>
        <v>#DIV/0!</v>
      </c>
      <c r="K32" s="60" t="e">
        <f t="shared" si="10"/>
        <v>#DIV/0!</v>
      </c>
      <c r="L32" s="60" t="e">
        <f t="shared" si="10"/>
        <v>#DIV/0!</v>
      </c>
      <c r="M32" s="60">
        <f t="shared" si="10"/>
        <v>85.038461538461533</v>
      </c>
      <c r="N32" s="60">
        <f t="shared" si="10"/>
        <v>82.730769230769226</v>
      </c>
      <c r="O32" s="60">
        <f t="shared" si="10"/>
        <v>87.07692307692308</v>
      </c>
      <c r="P32" s="60">
        <f t="shared" si="10"/>
        <v>80.15384615384616</v>
      </c>
      <c r="Q32" s="60" t="e">
        <f t="shared" si="10"/>
        <v>#DIV/0!</v>
      </c>
      <c r="R32" s="60" t="e">
        <f t="shared" si="10"/>
        <v>#DIV/0!</v>
      </c>
      <c r="S32" s="60" t="e">
        <f t="shared" si="10"/>
        <v>#DIV/0!</v>
      </c>
      <c r="T32" s="60" t="e">
        <f t="shared" si="10"/>
        <v>#DIV/0!</v>
      </c>
      <c r="U32" s="60" t="e">
        <f t="shared" si="10"/>
        <v>#DIV/0!</v>
      </c>
      <c r="V32" s="60" t="e">
        <f t="shared" si="10"/>
        <v>#DIV/0!</v>
      </c>
      <c r="W32" s="60">
        <f t="shared" si="10"/>
        <v>83.75</v>
      </c>
      <c r="X32" s="60" t="e">
        <f t="shared" si="10"/>
        <v>#DIV/0!</v>
      </c>
      <c r="Y32" s="60" t="e">
        <f t="shared" si="10"/>
        <v>#DIV/0!</v>
      </c>
      <c r="Z32" s="60" t="e">
        <f t="shared" si="10"/>
        <v>#DIV/0!</v>
      </c>
      <c r="AA32" s="60" t="e">
        <f t="shared" si="10"/>
        <v>#DIV/0!</v>
      </c>
      <c r="AB32" s="60" t="e">
        <f t="shared" si="10"/>
        <v>#DIV/0!</v>
      </c>
      <c r="AC32" s="60" t="e">
        <f t="shared" si="10"/>
        <v>#DIV/0!</v>
      </c>
      <c r="AD32" s="60" t="e">
        <f t="shared" si="10"/>
        <v>#DIV/0!</v>
      </c>
      <c r="AE32" s="60" t="e">
        <f t="shared" si="10"/>
        <v>#DIV/0!</v>
      </c>
      <c r="AF32" s="60" t="e">
        <f t="shared" si="10"/>
        <v>#DIV/0!</v>
      </c>
      <c r="AG32" s="60" t="e">
        <f t="shared" si="10"/>
        <v>#DIV/0!</v>
      </c>
      <c r="AH32" s="60" t="e">
        <f t="shared" si="10"/>
        <v>#DIV/0!</v>
      </c>
      <c r="AI32" s="60" t="e">
        <f t="shared" si="10"/>
        <v>#DIV/0!</v>
      </c>
      <c r="AJ32" s="60" t="e">
        <f t="shared" si="10"/>
        <v>#DIV/0!</v>
      </c>
      <c r="AK32" s="60" t="e">
        <f t="shared" si="10"/>
        <v>#DIV/0!</v>
      </c>
      <c r="AL32" s="60" t="e">
        <f t="shared" si="10"/>
        <v>#DIV/0!</v>
      </c>
      <c r="AM32" s="60" t="e">
        <f t="shared" si="10"/>
        <v>#DIV/0!</v>
      </c>
      <c r="AN32" s="60" t="e">
        <f t="shared" si="10"/>
        <v>#DIV/0!</v>
      </c>
      <c r="AO32" s="60" t="e">
        <f t="shared" si="10"/>
        <v>#DIV/0!</v>
      </c>
      <c r="AP32" s="60" t="e">
        <f t="shared" si="10"/>
        <v>#DIV/0!</v>
      </c>
      <c r="AQ32" s="60" t="e">
        <f t="shared" si="10"/>
        <v>#DIV/0!</v>
      </c>
      <c r="AR32" s="60" t="e">
        <f t="shared" si="10"/>
        <v>#DIV/0!</v>
      </c>
      <c r="AS32" s="60" t="e">
        <f t="shared" si="10"/>
        <v>#DIV/0!</v>
      </c>
      <c r="AT32" s="60">
        <f t="shared" si="10"/>
        <v>86.34615384615384</v>
      </c>
      <c r="AU32" s="60" t="e">
        <f t="shared" si="10"/>
        <v>#DIV/0!</v>
      </c>
      <c r="AV32" s="60" t="e">
        <f t="shared" si="10"/>
        <v>#DIV/0!</v>
      </c>
      <c r="AW32" s="60" t="e">
        <f t="shared" si="10"/>
        <v>#DIV/0!</v>
      </c>
      <c r="AX32" s="60" t="e">
        <f t="shared" si="10"/>
        <v>#DIV/0!</v>
      </c>
    </row>
    <row r="33" spans="2:50">
      <c r="B33" s="59">
        <v>100</v>
      </c>
      <c r="C33" s="59">
        <f t="shared" ref="C33:AX33" si="11">COUNTIF(C$4:C$31,"=100")</f>
        <v>0</v>
      </c>
      <c r="D33" s="59">
        <f t="shared" si="11"/>
        <v>0</v>
      </c>
      <c r="E33" s="59">
        <f t="shared" si="11"/>
        <v>0</v>
      </c>
      <c r="F33" s="59">
        <f t="shared" si="11"/>
        <v>0</v>
      </c>
      <c r="G33" s="59">
        <f t="shared" si="11"/>
        <v>0</v>
      </c>
      <c r="H33" s="59">
        <f t="shared" si="11"/>
        <v>0</v>
      </c>
      <c r="I33" s="59">
        <f t="shared" si="11"/>
        <v>0</v>
      </c>
      <c r="J33" s="59">
        <f t="shared" si="11"/>
        <v>0</v>
      </c>
      <c r="K33" s="59">
        <f t="shared" si="11"/>
        <v>0</v>
      </c>
      <c r="L33" s="59">
        <f t="shared" si="11"/>
        <v>0</v>
      </c>
      <c r="M33" s="59">
        <f t="shared" si="11"/>
        <v>2</v>
      </c>
      <c r="N33" s="59">
        <f t="shared" si="11"/>
        <v>1</v>
      </c>
      <c r="O33" s="59">
        <f t="shared" si="11"/>
        <v>1</v>
      </c>
      <c r="P33" s="59">
        <f t="shared" si="11"/>
        <v>1</v>
      </c>
      <c r="Q33" s="59">
        <f t="shared" si="11"/>
        <v>0</v>
      </c>
      <c r="R33" s="59">
        <f t="shared" si="11"/>
        <v>0</v>
      </c>
      <c r="S33" s="59">
        <f t="shared" si="11"/>
        <v>0</v>
      </c>
      <c r="T33" s="59">
        <f t="shared" si="11"/>
        <v>0</v>
      </c>
      <c r="U33" s="59">
        <f t="shared" si="11"/>
        <v>0</v>
      </c>
      <c r="V33" s="59">
        <f t="shared" si="11"/>
        <v>0</v>
      </c>
      <c r="W33" s="59">
        <f t="shared" si="11"/>
        <v>0</v>
      </c>
      <c r="X33" s="59">
        <f t="shared" si="11"/>
        <v>0</v>
      </c>
      <c r="Y33" s="59">
        <f t="shared" si="11"/>
        <v>0</v>
      </c>
      <c r="Z33" s="59">
        <f t="shared" si="11"/>
        <v>0</v>
      </c>
      <c r="AA33" s="59">
        <f t="shared" si="11"/>
        <v>0</v>
      </c>
      <c r="AB33" s="59">
        <f t="shared" si="11"/>
        <v>0</v>
      </c>
      <c r="AC33" s="59">
        <f t="shared" si="11"/>
        <v>0</v>
      </c>
      <c r="AD33" s="59">
        <f t="shared" si="11"/>
        <v>0</v>
      </c>
      <c r="AE33" s="59">
        <f t="shared" si="11"/>
        <v>0</v>
      </c>
      <c r="AF33" s="59">
        <f t="shared" si="11"/>
        <v>0</v>
      </c>
      <c r="AG33" s="59">
        <f t="shared" si="11"/>
        <v>0</v>
      </c>
      <c r="AH33" s="59">
        <f t="shared" si="11"/>
        <v>0</v>
      </c>
      <c r="AI33" s="59">
        <f t="shared" si="11"/>
        <v>0</v>
      </c>
      <c r="AJ33" s="59">
        <f t="shared" si="11"/>
        <v>0</v>
      </c>
      <c r="AK33" s="59">
        <f t="shared" si="11"/>
        <v>0</v>
      </c>
      <c r="AL33" s="59">
        <f t="shared" si="11"/>
        <v>0</v>
      </c>
      <c r="AM33" s="59">
        <f t="shared" si="11"/>
        <v>0</v>
      </c>
      <c r="AN33" s="59">
        <f t="shared" si="11"/>
        <v>0</v>
      </c>
      <c r="AO33" s="59">
        <f t="shared" si="11"/>
        <v>0</v>
      </c>
      <c r="AP33" s="59">
        <f t="shared" si="11"/>
        <v>0</v>
      </c>
      <c r="AQ33" s="59">
        <f t="shared" si="11"/>
        <v>0</v>
      </c>
      <c r="AR33" s="59">
        <f t="shared" si="11"/>
        <v>0</v>
      </c>
      <c r="AS33" s="59">
        <f t="shared" si="11"/>
        <v>0</v>
      </c>
      <c r="AT33" s="59">
        <f t="shared" si="11"/>
        <v>1</v>
      </c>
      <c r="AU33" s="59">
        <f t="shared" si="11"/>
        <v>0</v>
      </c>
      <c r="AV33" s="59">
        <f t="shared" si="11"/>
        <v>0</v>
      </c>
      <c r="AW33" s="59">
        <f t="shared" si="11"/>
        <v>0</v>
      </c>
      <c r="AX33" s="59">
        <f t="shared" si="11"/>
        <v>0</v>
      </c>
    </row>
    <row r="34" spans="2:50">
      <c r="B34" s="59">
        <v>90</v>
      </c>
      <c r="C34" s="59">
        <f t="shared" ref="C34:AR34" si="12">COUNTIF(C$4:C$31,"&gt;89")-C33</f>
        <v>0</v>
      </c>
      <c r="D34" s="59">
        <f t="shared" si="12"/>
        <v>0</v>
      </c>
      <c r="E34" s="59">
        <f t="shared" si="12"/>
        <v>0</v>
      </c>
      <c r="F34" s="59">
        <f t="shared" si="12"/>
        <v>0</v>
      </c>
      <c r="G34" s="59">
        <f t="shared" si="12"/>
        <v>0</v>
      </c>
      <c r="H34" s="59">
        <f t="shared" si="12"/>
        <v>0</v>
      </c>
      <c r="I34" s="59">
        <f t="shared" si="12"/>
        <v>0</v>
      </c>
      <c r="J34" s="59">
        <f t="shared" si="12"/>
        <v>0</v>
      </c>
      <c r="K34" s="59">
        <f t="shared" si="12"/>
        <v>0</v>
      </c>
      <c r="L34" s="59">
        <f t="shared" si="12"/>
        <v>0</v>
      </c>
      <c r="M34" s="59">
        <f t="shared" si="12"/>
        <v>13</v>
      </c>
      <c r="N34" s="59">
        <f t="shared" si="12"/>
        <v>12</v>
      </c>
      <c r="O34" s="59">
        <f t="shared" si="12"/>
        <v>12</v>
      </c>
      <c r="P34" s="59">
        <f t="shared" si="12"/>
        <v>7</v>
      </c>
      <c r="Q34" s="59">
        <f t="shared" si="12"/>
        <v>0</v>
      </c>
      <c r="R34" s="59">
        <f t="shared" si="12"/>
        <v>0</v>
      </c>
      <c r="S34" s="59">
        <f t="shared" si="12"/>
        <v>0</v>
      </c>
      <c r="T34" s="59">
        <f t="shared" si="12"/>
        <v>0</v>
      </c>
      <c r="U34" s="59">
        <f t="shared" si="12"/>
        <v>0</v>
      </c>
      <c r="V34" s="59">
        <f t="shared" si="12"/>
        <v>0</v>
      </c>
      <c r="W34" s="59">
        <f t="shared" si="12"/>
        <v>10</v>
      </c>
      <c r="X34" s="59">
        <f t="shared" si="12"/>
        <v>0</v>
      </c>
      <c r="Y34" s="59">
        <f t="shared" si="12"/>
        <v>0</v>
      </c>
      <c r="Z34" s="59">
        <f t="shared" si="12"/>
        <v>0</v>
      </c>
      <c r="AA34" s="59">
        <f t="shared" si="12"/>
        <v>0</v>
      </c>
      <c r="AB34" s="59">
        <f t="shared" si="12"/>
        <v>0</v>
      </c>
      <c r="AC34" s="59">
        <f t="shared" si="12"/>
        <v>0</v>
      </c>
      <c r="AD34" s="59">
        <f t="shared" si="12"/>
        <v>0</v>
      </c>
      <c r="AE34" s="59">
        <f t="shared" si="12"/>
        <v>0</v>
      </c>
      <c r="AF34" s="59">
        <f t="shared" si="12"/>
        <v>0</v>
      </c>
      <c r="AG34" s="59">
        <f t="shared" si="12"/>
        <v>0</v>
      </c>
      <c r="AH34" s="59">
        <f t="shared" si="12"/>
        <v>0</v>
      </c>
      <c r="AI34" s="59">
        <f t="shared" si="12"/>
        <v>0</v>
      </c>
      <c r="AJ34" s="59">
        <f t="shared" si="12"/>
        <v>0</v>
      </c>
      <c r="AK34" s="59">
        <f t="shared" si="12"/>
        <v>0</v>
      </c>
      <c r="AL34" s="59">
        <f t="shared" si="12"/>
        <v>0</v>
      </c>
      <c r="AM34" s="59">
        <f t="shared" si="12"/>
        <v>0</v>
      </c>
      <c r="AN34" s="59">
        <f t="shared" si="12"/>
        <v>0</v>
      </c>
      <c r="AO34" s="59">
        <f t="shared" si="12"/>
        <v>0</v>
      </c>
      <c r="AP34" s="59">
        <f t="shared" si="12"/>
        <v>0</v>
      </c>
      <c r="AQ34" s="59">
        <f t="shared" si="12"/>
        <v>0</v>
      </c>
      <c r="AR34" s="59">
        <f t="shared" si="12"/>
        <v>0</v>
      </c>
      <c r="AS34" s="59">
        <f t="shared" ref="AS34:AX34" si="13">COUNTIF(AS$4:AS$31,"&gt;89")-AS33</f>
        <v>0</v>
      </c>
      <c r="AT34" s="59">
        <f t="shared" si="13"/>
        <v>14</v>
      </c>
      <c r="AU34" s="59">
        <f t="shared" si="13"/>
        <v>0</v>
      </c>
      <c r="AV34" s="59">
        <f t="shared" si="13"/>
        <v>0</v>
      </c>
      <c r="AW34" s="59">
        <f t="shared" si="13"/>
        <v>0</v>
      </c>
      <c r="AX34" s="59">
        <f t="shared" si="13"/>
        <v>0</v>
      </c>
    </row>
    <row r="35" spans="2:50">
      <c r="B35" s="59">
        <v>80</v>
      </c>
      <c r="C35" s="59">
        <f t="shared" ref="C35:AR35" si="14">COUNTIF(C$4:C$31,"&gt;79")-C34-C33</f>
        <v>0</v>
      </c>
      <c r="D35" s="59">
        <f t="shared" si="14"/>
        <v>0</v>
      </c>
      <c r="E35" s="59">
        <f t="shared" si="14"/>
        <v>0</v>
      </c>
      <c r="F35" s="59">
        <f t="shared" si="14"/>
        <v>0</v>
      </c>
      <c r="G35" s="59">
        <f t="shared" si="14"/>
        <v>0</v>
      </c>
      <c r="H35" s="59">
        <f t="shared" si="14"/>
        <v>0</v>
      </c>
      <c r="I35" s="59">
        <f t="shared" si="14"/>
        <v>0</v>
      </c>
      <c r="J35" s="59">
        <f t="shared" si="14"/>
        <v>0</v>
      </c>
      <c r="K35" s="59">
        <f t="shared" si="14"/>
        <v>0</v>
      </c>
      <c r="L35" s="59">
        <f t="shared" si="14"/>
        <v>0</v>
      </c>
      <c r="M35" s="59">
        <f t="shared" si="14"/>
        <v>7</v>
      </c>
      <c r="N35" s="59">
        <f t="shared" si="14"/>
        <v>6</v>
      </c>
      <c r="O35" s="59">
        <f t="shared" si="14"/>
        <v>12</v>
      </c>
      <c r="P35" s="59">
        <f t="shared" si="14"/>
        <v>9</v>
      </c>
      <c r="Q35" s="59">
        <f t="shared" si="14"/>
        <v>0</v>
      </c>
      <c r="R35" s="59">
        <f t="shared" si="14"/>
        <v>0</v>
      </c>
      <c r="S35" s="59">
        <f t="shared" si="14"/>
        <v>0</v>
      </c>
      <c r="T35" s="59">
        <f t="shared" si="14"/>
        <v>0</v>
      </c>
      <c r="U35" s="59">
        <f t="shared" si="14"/>
        <v>0</v>
      </c>
      <c r="V35" s="59">
        <f t="shared" si="14"/>
        <v>0</v>
      </c>
      <c r="W35" s="59">
        <f t="shared" si="14"/>
        <v>12</v>
      </c>
      <c r="X35" s="59">
        <f t="shared" si="14"/>
        <v>0</v>
      </c>
      <c r="Y35" s="59">
        <f t="shared" si="14"/>
        <v>0</v>
      </c>
      <c r="Z35" s="59">
        <f t="shared" si="14"/>
        <v>0</v>
      </c>
      <c r="AA35" s="59">
        <f t="shared" si="14"/>
        <v>0</v>
      </c>
      <c r="AB35" s="59">
        <f t="shared" si="14"/>
        <v>0</v>
      </c>
      <c r="AC35" s="59">
        <f t="shared" si="14"/>
        <v>0</v>
      </c>
      <c r="AD35" s="59">
        <f t="shared" si="14"/>
        <v>0</v>
      </c>
      <c r="AE35" s="59">
        <f t="shared" si="14"/>
        <v>0</v>
      </c>
      <c r="AF35" s="59">
        <f t="shared" si="14"/>
        <v>0</v>
      </c>
      <c r="AG35" s="59">
        <f t="shared" si="14"/>
        <v>0</v>
      </c>
      <c r="AH35" s="59">
        <f t="shared" si="14"/>
        <v>0</v>
      </c>
      <c r="AI35" s="59">
        <f t="shared" si="14"/>
        <v>0</v>
      </c>
      <c r="AJ35" s="59">
        <f t="shared" si="14"/>
        <v>0</v>
      </c>
      <c r="AK35" s="59">
        <f t="shared" si="14"/>
        <v>0</v>
      </c>
      <c r="AL35" s="59">
        <f t="shared" si="14"/>
        <v>0</v>
      </c>
      <c r="AM35" s="59">
        <f t="shared" si="14"/>
        <v>0</v>
      </c>
      <c r="AN35" s="59">
        <f t="shared" si="14"/>
        <v>0</v>
      </c>
      <c r="AO35" s="59">
        <f t="shared" si="14"/>
        <v>0</v>
      </c>
      <c r="AP35" s="59">
        <f t="shared" si="14"/>
        <v>0</v>
      </c>
      <c r="AQ35" s="59">
        <f t="shared" si="14"/>
        <v>0</v>
      </c>
      <c r="AR35" s="59">
        <f t="shared" si="14"/>
        <v>0</v>
      </c>
      <c r="AS35" s="59">
        <f t="shared" ref="AS35:AX35" si="15">COUNTIF(AS$4:AS$31,"&gt;79")-AS34-AS33</f>
        <v>0</v>
      </c>
      <c r="AT35" s="59">
        <f t="shared" si="15"/>
        <v>6</v>
      </c>
      <c r="AU35" s="59">
        <f t="shared" si="15"/>
        <v>0</v>
      </c>
      <c r="AV35" s="59">
        <f t="shared" si="15"/>
        <v>0</v>
      </c>
      <c r="AW35" s="59">
        <f t="shared" si="15"/>
        <v>0</v>
      </c>
      <c r="AX35" s="59">
        <f t="shared" si="15"/>
        <v>0</v>
      </c>
    </row>
    <row r="36" spans="2:50">
      <c r="B36" s="59">
        <v>70</v>
      </c>
      <c r="C36" s="59">
        <f t="shared" ref="C36:AR36" si="16">COUNTIF(C$4:C$31,"&gt;69")-C35-C34-C33</f>
        <v>0</v>
      </c>
      <c r="D36" s="59">
        <f t="shared" si="16"/>
        <v>0</v>
      </c>
      <c r="E36" s="59">
        <f t="shared" si="16"/>
        <v>0</v>
      </c>
      <c r="F36" s="59">
        <f t="shared" si="16"/>
        <v>0</v>
      </c>
      <c r="G36" s="59">
        <f t="shared" si="16"/>
        <v>0</v>
      </c>
      <c r="H36" s="59">
        <f t="shared" si="16"/>
        <v>0</v>
      </c>
      <c r="I36" s="59">
        <f t="shared" si="16"/>
        <v>0</v>
      </c>
      <c r="J36" s="59">
        <f t="shared" si="16"/>
        <v>0</v>
      </c>
      <c r="K36" s="59">
        <f t="shared" si="16"/>
        <v>0</v>
      </c>
      <c r="L36" s="59">
        <f t="shared" si="16"/>
        <v>0</v>
      </c>
      <c r="M36" s="59">
        <f t="shared" si="16"/>
        <v>0</v>
      </c>
      <c r="N36" s="59">
        <f t="shared" si="16"/>
        <v>2</v>
      </c>
      <c r="O36" s="59">
        <f t="shared" si="16"/>
        <v>0</v>
      </c>
      <c r="P36" s="59">
        <f t="shared" si="16"/>
        <v>5</v>
      </c>
      <c r="Q36" s="59">
        <f t="shared" si="16"/>
        <v>0</v>
      </c>
      <c r="R36" s="59">
        <f t="shared" si="16"/>
        <v>0</v>
      </c>
      <c r="S36" s="59">
        <f t="shared" si="16"/>
        <v>0</v>
      </c>
      <c r="T36" s="59">
        <f t="shared" si="16"/>
        <v>0</v>
      </c>
      <c r="U36" s="59">
        <f t="shared" si="16"/>
        <v>0</v>
      </c>
      <c r="V36" s="59">
        <f t="shared" si="16"/>
        <v>0</v>
      </c>
      <c r="W36" s="59">
        <f t="shared" si="16"/>
        <v>1</v>
      </c>
      <c r="X36" s="59">
        <f t="shared" si="16"/>
        <v>0</v>
      </c>
      <c r="Y36" s="59">
        <f t="shared" si="16"/>
        <v>0</v>
      </c>
      <c r="Z36" s="59">
        <f t="shared" si="16"/>
        <v>0</v>
      </c>
      <c r="AA36" s="59">
        <f t="shared" si="16"/>
        <v>0</v>
      </c>
      <c r="AB36" s="59">
        <f t="shared" si="16"/>
        <v>0</v>
      </c>
      <c r="AC36" s="59">
        <f t="shared" si="16"/>
        <v>0</v>
      </c>
      <c r="AD36" s="59">
        <f t="shared" si="16"/>
        <v>0</v>
      </c>
      <c r="AE36" s="59">
        <f t="shared" si="16"/>
        <v>0</v>
      </c>
      <c r="AF36" s="59">
        <f t="shared" si="16"/>
        <v>0</v>
      </c>
      <c r="AG36" s="59">
        <f t="shared" si="16"/>
        <v>0</v>
      </c>
      <c r="AH36" s="59">
        <f t="shared" si="16"/>
        <v>0</v>
      </c>
      <c r="AI36" s="59">
        <f t="shared" si="16"/>
        <v>0</v>
      </c>
      <c r="AJ36" s="59">
        <f t="shared" si="16"/>
        <v>0</v>
      </c>
      <c r="AK36" s="59">
        <f t="shared" si="16"/>
        <v>0</v>
      </c>
      <c r="AL36" s="59">
        <f t="shared" si="16"/>
        <v>0</v>
      </c>
      <c r="AM36" s="59">
        <f t="shared" si="16"/>
        <v>0</v>
      </c>
      <c r="AN36" s="59">
        <f t="shared" si="16"/>
        <v>0</v>
      </c>
      <c r="AO36" s="59">
        <f t="shared" si="16"/>
        <v>0</v>
      </c>
      <c r="AP36" s="59">
        <f t="shared" si="16"/>
        <v>0</v>
      </c>
      <c r="AQ36" s="59">
        <f t="shared" si="16"/>
        <v>0</v>
      </c>
      <c r="AR36" s="59">
        <f t="shared" si="16"/>
        <v>0</v>
      </c>
      <c r="AS36" s="59">
        <f t="shared" ref="AS36:AX36" si="17">COUNTIF(AS$4:AS$31,"&gt;69")-AS35-AS34-AS33</f>
        <v>0</v>
      </c>
      <c r="AT36" s="59">
        <f t="shared" si="17"/>
        <v>1</v>
      </c>
      <c r="AU36" s="59">
        <f t="shared" si="17"/>
        <v>0</v>
      </c>
      <c r="AV36" s="59">
        <f t="shared" si="17"/>
        <v>0</v>
      </c>
      <c r="AW36" s="59">
        <f t="shared" si="17"/>
        <v>0</v>
      </c>
      <c r="AX36" s="59">
        <f t="shared" si="17"/>
        <v>0</v>
      </c>
    </row>
    <row r="37" spans="2:50">
      <c r="B37" s="59">
        <v>60</v>
      </c>
      <c r="C37" s="59">
        <f t="shared" ref="C37:AR37" si="18">COUNTIF(C$4:C$31,"&gt;59")-C36-C35-C34-C33</f>
        <v>0</v>
      </c>
      <c r="D37" s="59">
        <f t="shared" si="18"/>
        <v>0</v>
      </c>
      <c r="E37" s="59">
        <f t="shared" si="18"/>
        <v>0</v>
      </c>
      <c r="F37" s="59">
        <f t="shared" si="18"/>
        <v>0</v>
      </c>
      <c r="G37" s="59">
        <f t="shared" si="18"/>
        <v>0</v>
      </c>
      <c r="H37" s="59">
        <f t="shared" si="18"/>
        <v>0</v>
      </c>
      <c r="I37" s="59">
        <f t="shared" si="18"/>
        <v>0</v>
      </c>
      <c r="J37" s="59">
        <f t="shared" si="18"/>
        <v>0</v>
      </c>
      <c r="K37" s="59">
        <f t="shared" si="18"/>
        <v>0</v>
      </c>
      <c r="L37" s="59">
        <f t="shared" si="18"/>
        <v>0</v>
      </c>
      <c r="M37" s="59">
        <f t="shared" si="18"/>
        <v>1</v>
      </c>
      <c r="N37" s="59">
        <f t="shared" si="18"/>
        <v>4</v>
      </c>
      <c r="O37" s="59">
        <f t="shared" si="18"/>
        <v>0</v>
      </c>
      <c r="P37" s="59">
        <f t="shared" si="18"/>
        <v>2</v>
      </c>
      <c r="Q37" s="59">
        <f t="shared" si="18"/>
        <v>0</v>
      </c>
      <c r="R37" s="59">
        <f t="shared" si="18"/>
        <v>0</v>
      </c>
      <c r="S37" s="59">
        <f t="shared" si="18"/>
        <v>0</v>
      </c>
      <c r="T37" s="59">
        <f t="shared" si="18"/>
        <v>0</v>
      </c>
      <c r="U37" s="59">
        <f t="shared" si="18"/>
        <v>0</v>
      </c>
      <c r="V37" s="59">
        <f t="shared" si="18"/>
        <v>0</v>
      </c>
      <c r="W37" s="59">
        <f t="shared" si="18"/>
        <v>1</v>
      </c>
      <c r="X37" s="59">
        <f t="shared" si="18"/>
        <v>0</v>
      </c>
      <c r="Y37" s="59">
        <f t="shared" si="18"/>
        <v>0</v>
      </c>
      <c r="Z37" s="59">
        <f t="shared" si="18"/>
        <v>0</v>
      </c>
      <c r="AA37" s="59">
        <f t="shared" si="18"/>
        <v>0</v>
      </c>
      <c r="AB37" s="59">
        <f t="shared" si="18"/>
        <v>0</v>
      </c>
      <c r="AC37" s="59">
        <f t="shared" si="18"/>
        <v>0</v>
      </c>
      <c r="AD37" s="59">
        <f t="shared" si="18"/>
        <v>0</v>
      </c>
      <c r="AE37" s="59">
        <f t="shared" si="18"/>
        <v>0</v>
      </c>
      <c r="AF37" s="59">
        <f t="shared" si="18"/>
        <v>0</v>
      </c>
      <c r="AG37" s="59">
        <f t="shared" si="18"/>
        <v>0</v>
      </c>
      <c r="AH37" s="59">
        <f t="shared" si="18"/>
        <v>0</v>
      </c>
      <c r="AI37" s="59">
        <f t="shared" si="18"/>
        <v>0</v>
      </c>
      <c r="AJ37" s="59">
        <f t="shared" si="18"/>
        <v>0</v>
      </c>
      <c r="AK37" s="59">
        <f t="shared" si="18"/>
        <v>0</v>
      </c>
      <c r="AL37" s="59">
        <f t="shared" si="18"/>
        <v>0</v>
      </c>
      <c r="AM37" s="59">
        <f t="shared" si="18"/>
        <v>0</v>
      </c>
      <c r="AN37" s="59">
        <f t="shared" si="18"/>
        <v>0</v>
      </c>
      <c r="AO37" s="59">
        <f t="shared" si="18"/>
        <v>0</v>
      </c>
      <c r="AP37" s="59">
        <f t="shared" si="18"/>
        <v>0</v>
      </c>
      <c r="AQ37" s="59">
        <f t="shared" si="18"/>
        <v>0</v>
      </c>
      <c r="AR37" s="59">
        <f t="shared" si="18"/>
        <v>0</v>
      </c>
      <c r="AS37" s="59">
        <f t="shared" ref="AS37:AX37" si="19">COUNTIF(AS$4:AS$31,"&gt;59")-AS36-AS35-AS34-AS33</f>
        <v>0</v>
      </c>
      <c r="AT37" s="59">
        <f t="shared" si="19"/>
        <v>2</v>
      </c>
      <c r="AU37" s="59">
        <f t="shared" si="19"/>
        <v>0</v>
      </c>
      <c r="AV37" s="59">
        <f t="shared" si="19"/>
        <v>0</v>
      </c>
      <c r="AW37" s="59">
        <f t="shared" si="19"/>
        <v>0</v>
      </c>
      <c r="AX37" s="59">
        <f t="shared" si="19"/>
        <v>0</v>
      </c>
    </row>
    <row r="38" spans="2:50">
      <c r="B38" s="59" t="s">
        <v>215</v>
      </c>
      <c r="C38" s="59">
        <f t="shared" ref="C38:AX38" si="20">26-C37-C36-C35-C34-C33</f>
        <v>26</v>
      </c>
      <c r="D38" s="59">
        <f t="shared" si="20"/>
        <v>26</v>
      </c>
      <c r="E38" s="59">
        <f t="shared" si="20"/>
        <v>26</v>
      </c>
      <c r="F38" s="59">
        <f t="shared" si="20"/>
        <v>26</v>
      </c>
      <c r="G38" s="59">
        <f t="shared" si="20"/>
        <v>26</v>
      </c>
      <c r="H38" s="59">
        <f t="shared" si="20"/>
        <v>26</v>
      </c>
      <c r="I38" s="59">
        <f t="shared" si="20"/>
        <v>26</v>
      </c>
      <c r="J38" s="59">
        <f t="shared" si="20"/>
        <v>26</v>
      </c>
      <c r="K38" s="59">
        <f t="shared" si="20"/>
        <v>26</v>
      </c>
      <c r="L38" s="59">
        <f t="shared" si="20"/>
        <v>26</v>
      </c>
      <c r="M38" s="59">
        <f t="shared" si="20"/>
        <v>3</v>
      </c>
      <c r="N38" s="59">
        <f t="shared" si="20"/>
        <v>1</v>
      </c>
      <c r="O38" s="59">
        <f t="shared" si="20"/>
        <v>1</v>
      </c>
      <c r="P38" s="59">
        <f t="shared" si="20"/>
        <v>2</v>
      </c>
      <c r="Q38" s="59">
        <f t="shared" si="20"/>
        <v>26</v>
      </c>
      <c r="R38" s="59">
        <f t="shared" si="20"/>
        <v>26</v>
      </c>
      <c r="S38" s="59">
        <f t="shared" si="20"/>
        <v>26</v>
      </c>
      <c r="T38" s="59">
        <f t="shared" si="20"/>
        <v>26</v>
      </c>
      <c r="U38" s="59">
        <f t="shared" si="20"/>
        <v>26</v>
      </c>
      <c r="V38" s="59">
        <f t="shared" si="20"/>
        <v>26</v>
      </c>
      <c r="W38" s="59">
        <f t="shared" si="20"/>
        <v>2</v>
      </c>
      <c r="X38" s="59">
        <f t="shared" si="20"/>
        <v>26</v>
      </c>
      <c r="Y38" s="59">
        <f t="shared" si="20"/>
        <v>26</v>
      </c>
      <c r="Z38" s="59">
        <f t="shared" si="20"/>
        <v>26</v>
      </c>
      <c r="AA38" s="59">
        <f t="shared" si="20"/>
        <v>26</v>
      </c>
      <c r="AB38" s="59">
        <f t="shared" si="20"/>
        <v>26</v>
      </c>
      <c r="AC38" s="59">
        <f t="shared" si="20"/>
        <v>26</v>
      </c>
      <c r="AD38" s="59">
        <f t="shared" si="20"/>
        <v>26</v>
      </c>
      <c r="AE38" s="59">
        <f t="shared" si="20"/>
        <v>26</v>
      </c>
      <c r="AF38" s="59">
        <f t="shared" si="20"/>
        <v>26</v>
      </c>
      <c r="AG38" s="59">
        <f t="shared" si="20"/>
        <v>26</v>
      </c>
      <c r="AH38" s="59">
        <f t="shared" si="20"/>
        <v>26</v>
      </c>
      <c r="AI38" s="59">
        <f t="shared" si="20"/>
        <v>26</v>
      </c>
      <c r="AJ38" s="59">
        <f t="shared" si="20"/>
        <v>26</v>
      </c>
      <c r="AK38" s="59">
        <f t="shared" si="20"/>
        <v>26</v>
      </c>
      <c r="AL38" s="59">
        <f t="shared" si="20"/>
        <v>26</v>
      </c>
      <c r="AM38" s="59">
        <f t="shared" si="20"/>
        <v>26</v>
      </c>
      <c r="AN38" s="59">
        <f t="shared" si="20"/>
        <v>26</v>
      </c>
      <c r="AO38" s="59">
        <f t="shared" si="20"/>
        <v>26</v>
      </c>
      <c r="AP38" s="59">
        <f t="shared" si="20"/>
        <v>26</v>
      </c>
      <c r="AQ38" s="59">
        <f t="shared" si="20"/>
        <v>26</v>
      </c>
      <c r="AR38" s="59">
        <f t="shared" si="20"/>
        <v>26</v>
      </c>
      <c r="AS38" s="59">
        <f t="shared" si="20"/>
        <v>26</v>
      </c>
      <c r="AT38" s="59">
        <f t="shared" si="20"/>
        <v>2</v>
      </c>
      <c r="AU38" s="59">
        <f t="shared" si="20"/>
        <v>26</v>
      </c>
      <c r="AV38" s="59">
        <f t="shared" si="20"/>
        <v>26</v>
      </c>
      <c r="AW38" s="59">
        <f t="shared" si="20"/>
        <v>26</v>
      </c>
      <c r="AX38" s="59">
        <f t="shared" si="20"/>
        <v>26</v>
      </c>
    </row>
    <row r="39" spans="2:50" ht="14.25">
      <c r="B39" s="62" t="s">
        <v>216</v>
      </c>
      <c r="C39" s="59">
        <f>SUM(C33:C38)</f>
        <v>26</v>
      </c>
      <c r="D39" s="59">
        <f t="shared" ref="D39:AR39" si="21">SUM(D33:D38)</f>
        <v>26</v>
      </c>
      <c r="E39" s="59">
        <f t="shared" si="21"/>
        <v>26</v>
      </c>
      <c r="F39" s="59">
        <f t="shared" si="21"/>
        <v>26</v>
      </c>
      <c r="G39" s="59">
        <f t="shared" si="21"/>
        <v>26</v>
      </c>
      <c r="H39" s="59">
        <f t="shared" si="21"/>
        <v>26</v>
      </c>
      <c r="I39" s="59">
        <f t="shared" si="21"/>
        <v>26</v>
      </c>
      <c r="J39" s="59">
        <f t="shared" si="21"/>
        <v>26</v>
      </c>
      <c r="K39" s="59">
        <f t="shared" si="21"/>
        <v>26</v>
      </c>
      <c r="L39" s="59">
        <f t="shared" si="21"/>
        <v>26</v>
      </c>
      <c r="M39" s="59">
        <f t="shared" si="21"/>
        <v>26</v>
      </c>
      <c r="N39" s="59">
        <f t="shared" si="21"/>
        <v>26</v>
      </c>
      <c r="O39" s="59">
        <f t="shared" si="21"/>
        <v>26</v>
      </c>
      <c r="P39" s="59">
        <f t="shared" si="21"/>
        <v>26</v>
      </c>
      <c r="Q39" s="59">
        <f t="shared" si="21"/>
        <v>26</v>
      </c>
      <c r="R39" s="59">
        <f t="shared" si="21"/>
        <v>26</v>
      </c>
      <c r="S39" s="59">
        <f t="shared" si="21"/>
        <v>26</v>
      </c>
      <c r="T39" s="59">
        <f t="shared" si="21"/>
        <v>26</v>
      </c>
      <c r="U39" s="59">
        <f t="shared" si="21"/>
        <v>26</v>
      </c>
      <c r="V39" s="59">
        <f t="shared" si="21"/>
        <v>26</v>
      </c>
      <c r="W39" s="59">
        <f t="shared" si="21"/>
        <v>26</v>
      </c>
      <c r="X39" s="59">
        <f t="shared" si="21"/>
        <v>26</v>
      </c>
      <c r="Y39" s="59">
        <f t="shared" si="21"/>
        <v>26</v>
      </c>
      <c r="Z39" s="59">
        <f t="shared" si="21"/>
        <v>26</v>
      </c>
      <c r="AA39" s="59">
        <f t="shared" si="21"/>
        <v>26</v>
      </c>
      <c r="AB39" s="59">
        <f t="shared" si="21"/>
        <v>26</v>
      </c>
      <c r="AC39" s="59">
        <f t="shared" si="21"/>
        <v>26</v>
      </c>
      <c r="AD39" s="59">
        <f t="shared" si="21"/>
        <v>26</v>
      </c>
      <c r="AE39" s="59">
        <f t="shared" si="21"/>
        <v>26</v>
      </c>
      <c r="AF39" s="59">
        <f t="shared" si="21"/>
        <v>26</v>
      </c>
      <c r="AG39" s="59">
        <f t="shared" si="21"/>
        <v>26</v>
      </c>
      <c r="AH39" s="59">
        <f t="shared" si="21"/>
        <v>26</v>
      </c>
      <c r="AI39" s="59">
        <f t="shared" si="21"/>
        <v>26</v>
      </c>
      <c r="AJ39" s="59">
        <f t="shared" si="21"/>
        <v>26</v>
      </c>
      <c r="AK39" s="59">
        <f t="shared" si="21"/>
        <v>26</v>
      </c>
      <c r="AL39" s="59">
        <f t="shared" si="21"/>
        <v>26</v>
      </c>
      <c r="AM39" s="59">
        <f t="shared" si="21"/>
        <v>26</v>
      </c>
      <c r="AN39" s="59">
        <f t="shared" si="21"/>
        <v>26</v>
      </c>
      <c r="AO39" s="59">
        <f t="shared" si="21"/>
        <v>26</v>
      </c>
      <c r="AP39" s="59">
        <f t="shared" si="21"/>
        <v>26</v>
      </c>
      <c r="AQ39" s="59">
        <f t="shared" si="21"/>
        <v>26</v>
      </c>
      <c r="AR39" s="59">
        <f t="shared" si="21"/>
        <v>26</v>
      </c>
      <c r="AS39" s="59">
        <f t="shared" ref="AS39:AX39" si="22">SUM(AS33:AS38)</f>
        <v>26</v>
      </c>
      <c r="AT39" s="59">
        <f t="shared" si="22"/>
        <v>26</v>
      </c>
      <c r="AU39" s="59">
        <f t="shared" si="22"/>
        <v>26</v>
      </c>
      <c r="AV39" s="59">
        <f t="shared" si="22"/>
        <v>26</v>
      </c>
      <c r="AW39" s="59">
        <f t="shared" si="22"/>
        <v>26</v>
      </c>
      <c r="AX39" s="59">
        <f t="shared" si="22"/>
        <v>26</v>
      </c>
    </row>
  </sheetData>
  <mergeCells count="9">
    <mergeCell ref="AR2:AS2"/>
    <mergeCell ref="AT2:AU2"/>
    <mergeCell ref="AV2:AX2"/>
    <mergeCell ref="A1:AG1"/>
    <mergeCell ref="A2:B2"/>
    <mergeCell ref="C2:L2"/>
    <mergeCell ref="M2:W2"/>
    <mergeCell ref="X2:AG2"/>
    <mergeCell ref="AH2:AQ2"/>
  </mergeCells>
  <phoneticPr fontId="2" type="noConversion"/>
  <pageMargins left="0.19685039370078741" right="0.19685039370078741" top="0.59055118110236227" bottom="0.39370078740157483" header="0" footer="0"/>
  <pageSetup paperSize="9" firstPageNumber="0" fitToWidth="0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Y39"/>
  <sheetViews>
    <sheetView zoomScaleNormal="100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T17" sqref="T17"/>
    </sheetView>
  </sheetViews>
  <sheetFormatPr defaultRowHeight="12.75"/>
  <cols>
    <col min="1" max="1" width="2.875" style="59" customWidth="1"/>
    <col min="2" max="2" width="7" style="59" customWidth="1"/>
    <col min="3" max="43" width="3.375" style="59" customWidth="1"/>
    <col min="44" max="49" width="4.625" style="59" customWidth="1"/>
    <col min="50" max="50" width="6.625" style="59" customWidth="1"/>
    <col min="51" max="16384" width="9" style="59"/>
  </cols>
  <sheetData>
    <row r="1" spans="1:51" ht="14.25">
      <c r="A1" s="499" t="s">
        <v>204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  <c r="AG1" s="499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45"/>
      <c r="AS1" s="245"/>
      <c r="AT1" s="245"/>
      <c r="AU1" s="245"/>
      <c r="AV1" s="245"/>
      <c r="AW1" s="245"/>
      <c r="AX1" s="245"/>
    </row>
    <row r="2" spans="1:51" ht="14.25">
      <c r="A2" s="499">
        <v>307</v>
      </c>
      <c r="B2" s="497"/>
      <c r="C2" s="498" t="s">
        <v>205</v>
      </c>
      <c r="D2" s="498"/>
      <c r="E2" s="498"/>
      <c r="F2" s="498"/>
      <c r="G2" s="498"/>
      <c r="H2" s="498"/>
      <c r="I2" s="498"/>
      <c r="J2" s="498"/>
      <c r="K2" s="498"/>
      <c r="L2" s="498"/>
      <c r="M2" s="492" t="s">
        <v>206</v>
      </c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 t="s">
        <v>570</v>
      </c>
      <c r="Y2" s="492"/>
      <c r="Z2" s="492"/>
      <c r="AA2" s="492"/>
      <c r="AB2" s="492"/>
      <c r="AC2" s="492"/>
      <c r="AD2" s="492"/>
      <c r="AE2" s="492"/>
      <c r="AF2" s="492"/>
      <c r="AG2" s="492"/>
      <c r="AH2" s="492" t="s">
        <v>268</v>
      </c>
      <c r="AI2" s="492"/>
      <c r="AJ2" s="492"/>
      <c r="AK2" s="492"/>
      <c r="AL2" s="492"/>
      <c r="AM2" s="492"/>
      <c r="AN2" s="492"/>
      <c r="AO2" s="492"/>
      <c r="AP2" s="492"/>
      <c r="AQ2" s="492"/>
      <c r="AR2" s="492" t="s">
        <v>207</v>
      </c>
      <c r="AS2" s="492"/>
      <c r="AT2" s="492" t="s">
        <v>208</v>
      </c>
      <c r="AU2" s="492"/>
      <c r="AV2" s="492" t="s">
        <v>209</v>
      </c>
      <c r="AW2" s="492"/>
      <c r="AX2" s="492"/>
    </row>
    <row r="3" spans="1:51" ht="14.25">
      <c r="A3" s="243" t="s">
        <v>210</v>
      </c>
      <c r="B3" s="243" t="s">
        <v>0</v>
      </c>
      <c r="C3" s="244">
        <v>1</v>
      </c>
      <c r="D3" s="245">
        <v>2</v>
      </c>
      <c r="E3" s="244">
        <v>3</v>
      </c>
      <c r="F3" s="245">
        <v>4</v>
      </c>
      <c r="G3" s="244">
        <v>5</v>
      </c>
      <c r="H3" s="245">
        <v>6</v>
      </c>
      <c r="I3" s="244">
        <v>7</v>
      </c>
      <c r="J3" s="245">
        <v>8</v>
      </c>
      <c r="K3" s="244">
        <v>9</v>
      </c>
      <c r="L3" s="245"/>
      <c r="M3" s="245">
        <v>1</v>
      </c>
      <c r="N3" s="245">
        <v>2</v>
      </c>
      <c r="O3" s="245">
        <v>3</v>
      </c>
      <c r="P3" s="245">
        <v>4</v>
      </c>
      <c r="Q3" s="245">
        <v>5</v>
      </c>
      <c r="R3" s="245">
        <v>6</v>
      </c>
      <c r="S3" s="245">
        <v>7</v>
      </c>
      <c r="T3" s="245">
        <v>8</v>
      </c>
      <c r="U3" s="245">
        <v>9</v>
      </c>
      <c r="V3" s="245">
        <v>10</v>
      </c>
      <c r="W3" s="245"/>
      <c r="X3" s="245">
        <v>1</v>
      </c>
      <c r="Y3" s="245">
        <v>2</v>
      </c>
      <c r="Z3" s="245">
        <v>3</v>
      </c>
      <c r="AA3" s="245">
        <v>4</v>
      </c>
      <c r="AB3" s="245">
        <v>5</v>
      </c>
      <c r="AC3" s="245">
        <v>6</v>
      </c>
      <c r="AD3" s="245">
        <v>7</v>
      </c>
      <c r="AE3" s="245">
        <v>8</v>
      </c>
      <c r="AF3" s="245">
        <v>9</v>
      </c>
      <c r="AG3" s="245">
        <v>10</v>
      </c>
      <c r="AH3" s="245">
        <v>1</v>
      </c>
      <c r="AI3" s="245">
        <v>2</v>
      </c>
      <c r="AJ3" s="245">
        <v>3</v>
      </c>
      <c r="AK3" s="245">
        <v>4</v>
      </c>
      <c r="AL3" s="245">
        <v>5</v>
      </c>
      <c r="AM3" s="245">
        <v>6</v>
      </c>
      <c r="AN3" s="245">
        <v>7</v>
      </c>
      <c r="AO3" s="245">
        <v>8</v>
      </c>
      <c r="AP3" s="245">
        <v>9</v>
      </c>
      <c r="AQ3" s="245">
        <v>10</v>
      </c>
      <c r="AR3" s="241" t="s">
        <v>211</v>
      </c>
      <c r="AS3" s="241" t="s">
        <v>212</v>
      </c>
      <c r="AT3" s="241" t="s">
        <v>211</v>
      </c>
      <c r="AU3" s="241" t="s">
        <v>212</v>
      </c>
      <c r="AV3" s="241" t="s">
        <v>211</v>
      </c>
      <c r="AW3" s="241" t="s">
        <v>212</v>
      </c>
      <c r="AX3" s="241" t="s">
        <v>213</v>
      </c>
    </row>
    <row r="4" spans="1:51" ht="18.75" customHeight="1">
      <c r="A4" s="147">
        <v>1</v>
      </c>
      <c r="B4" s="135" t="str">
        <f>VLOOKUP(A4,緊急聯絡!A$2:C$27,3,0)</f>
        <v>陳威劭</v>
      </c>
      <c r="C4" s="245">
        <v>99</v>
      </c>
      <c r="D4" s="245">
        <v>92</v>
      </c>
      <c r="E4" s="245">
        <v>90</v>
      </c>
      <c r="F4" s="245">
        <v>93</v>
      </c>
      <c r="G4" s="245">
        <v>100</v>
      </c>
      <c r="H4" s="245">
        <v>100</v>
      </c>
      <c r="I4" s="245"/>
      <c r="J4" s="245"/>
      <c r="K4" s="245"/>
      <c r="L4" s="245">
        <f>AVERAGE(C4:K4)</f>
        <v>95.666666666666671</v>
      </c>
      <c r="M4" s="243">
        <v>93</v>
      </c>
      <c r="N4" s="245">
        <v>84</v>
      </c>
      <c r="O4" s="245">
        <v>80</v>
      </c>
      <c r="P4" s="245">
        <v>100</v>
      </c>
      <c r="Q4" s="245">
        <v>84</v>
      </c>
      <c r="R4" s="245">
        <v>100</v>
      </c>
      <c r="S4" s="245">
        <v>85</v>
      </c>
      <c r="T4" s="245">
        <v>98</v>
      </c>
      <c r="U4" s="245">
        <v>100</v>
      </c>
      <c r="V4" s="245">
        <v>86</v>
      </c>
      <c r="W4" s="245">
        <f>AVERAGE(M4:V4)</f>
        <v>91</v>
      </c>
      <c r="X4" s="245">
        <v>88</v>
      </c>
      <c r="Y4" s="245">
        <v>97</v>
      </c>
      <c r="Z4" s="245">
        <v>100</v>
      </c>
      <c r="AA4" s="245">
        <v>100</v>
      </c>
      <c r="AB4" s="245">
        <v>100</v>
      </c>
      <c r="AC4" s="245"/>
      <c r="AD4" s="245"/>
      <c r="AE4" s="245"/>
      <c r="AF4" s="245"/>
      <c r="AG4" s="245">
        <f>AVERAGE(X4:AF4)</f>
        <v>97</v>
      </c>
      <c r="AH4" s="245">
        <v>87</v>
      </c>
      <c r="AI4" s="245">
        <v>95</v>
      </c>
      <c r="AJ4" s="245">
        <v>91</v>
      </c>
      <c r="AK4" s="245">
        <v>98</v>
      </c>
      <c r="AL4" s="245">
        <v>100</v>
      </c>
      <c r="AM4" s="245">
        <v>96</v>
      </c>
      <c r="AN4" s="245"/>
      <c r="AO4" s="245"/>
      <c r="AP4" s="245"/>
      <c r="AQ4" s="245"/>
      <c r="AR4" s="245"/>
      <c r="AS4" s="245">
        <f>AVERAGE(L4,W4,AG4,AH4)</f>
        <v>92.666666666666671</v>
      </c>
      <c r="AT4" s="235"/>
      <c r="AU4" s="245">
        <v>95</v>
      </c>
      <c r="AV4" s="245" t="e">
        <f>AVERAGE(AR4,AT4)</f>
        <v>#DIV/0!</v>
      </c>
      <c r="AW4" s="245">
        <f>AVERAGE(AS4,AU4)</f>
        <v>93.833333333333343</v>
      </c>
      <c r="AX4" s="245" t="e">
        <f>AVERAGE(AV4:AW4)</f>
        <v>#DIV/0!</v>
      </c>
      <c r="AY4" s="59">
        <f>AU4-AT4</f>
        <v>95</v>
      </c>
    </row>
    <row r="5" spans="1:51" ht="18.75" customHeight="1">
      <c r="A5" s="147">
        <v>2</v>
      </c>
      <c r="B5" s="135" t="str">
        <f>VLOOKUP(A5,緊急聯絡!A$2:C$27,3,0)</f>
        <v>周宗慶</v>
      </c>
      <c r="C5" s="245">
        <v>100</v>
      </c>
      <c r="D5" s="245">
        <v>100</v>
      </c>
      <c r="E5" s="245">
        <v>95</v>
      </c>
      <c r="F5" s="245">
        <v>92</v>
      </c>
      <c r="G5" s="245">
        <v>100</v>
      </c>
      <c r="H5" s="245">
        <v>100</v>
      </c>
      <c r="I5" s="245"/>
      <c r="J5" s="245"/>
      <c r="K5" s="245"/>
      <c r="L5" s="245">
        <f t="shared" ref="L5:L30" si="0">AVERAGE(C5:K5)</f>
        <v>97.833333333333329</v>
      </c>
      <c r="M5" s="243">
        <v>100</v>
      </c>
      <c r="N5" s="245">
        <v>90</v>
      </c>
      <c r="O5" s="245">
        <v>94</v>
      </c>
      <c r="P5" s="245">
        <v>100</v>
      </c>
      <c r="Q5" s="245">
        <v>100</v>
      </c>
      <c r="R5" s="245">
        <v>98</v>
      </c>
      <c r="S5" s="245">
        <v>100</v>
      </c>
      <c r="T5" s="245">
        <v>100</v>
      </c>
      <c r="U5" s="245">
        <v>93</v>
      </c>
      <c r="V5" s="245">
        <v>100</v>
      </c>
      <c r="W5" s="245">
        <f t="shared" ref="W5:W30" si="1">AVERAGE(M5:V5)</f>
        <v>97.5</v>
      </c>
      <c r="X5" s="245">
        <v>98</v>
      </c>
      <c r="Y5" s="245">
        <v>99</v>
      </c>
      <c r="Z5" s="245">
        <v>100</v>
      </c>
      <c r="AA5" s="245">
        <v>100</v>
      </c>
      <c r="AB5" s="245">
        <v>100</v>
      </c>
      <c r="AC5" s="245"/>
      <c r="AD5" s="245"/>
      <c r="AE5" s="245"/>
      <c r="AF5" s="245"/>
      <c r="AG5" s="245">
        <f t="shared" ref="AG5:AG30" si="2">AVERAGE(X5:AF5)</f>
        <v>99.4</v>
      </c>
      <c r="AH5" s="245">
        <v>97</v>
      </c>
      <c r="AI5" s="245">
        <v>98</v>
      </c>
      <c r="AJ5" s="245">
        <v>97</v>
      </c>
      <c r="AK5" s="245">
        <v>99</v>
      </c>
      <c r="AL5" s="245">
        <v>100</v>
      </c>
      <c r="AM5" s="245">
        <v>97</v>
      </c>
      <c r="AN5" s="245"/>
      <c r="AO5" s="245"/>
      <c r="AP5" s="245"/>
      <c r="AQ5" s="245"/>
      <c r="AR5" s="245"/>
      <c r="AS5" s="245">
        <f t="shared" ref="AS5:AS30" si="3">AVERAGE(L5,W5,AG5,AH5)</f>
        <v>97.933333333333337</v>
      </c>
      <c r="AT5" s="235"/>
      <c r="AU5" s="245">
        <v>99</v>
      </c>
      <c r="AV5" s="245" t="e">
        <f t="shared" ref="AV5:AW26" si="4">AVERAGE(AR5,AT5)</f>
        <v>#DIV/0!</v>
      </c>
      <c r="AW5" s="245">
        <f t="shared" si="4"/>
        <v>98.466666666666669</v>
      </c>
      <c r="AX5" s="245" t="e">
        <f t="shared" ref="AX5:AX30" si="5">AVERAGE(AV5:AW5)</f>
        <v>#DIV/0!</v>
      </c>
      <c r="AY5" s="59">
        <f t="shared" ref="AY5:AY31" si="6">AU5-AT5</f>
        <v>99</v>
      </c>
    </row>
    <row r="6" spans="1:51" ht="18.75" customHeight="1">
      <c r="A6" s="147">
        <v>3</v>
      </c>
      <c r="B6" s="135" t="str">
        <f>VLOOKUP(A6,緊急聯絡!A$2:C$27,3,0)</f>
        <v>林昱任</v>
      </c>
      <c r="C6" s="245">
        <v>97</v>
      </c>
      <c r="D6" s="245">
        <v>99</v>
      </c>
      <c r="E6" s="245">
        <v>97</v>
      </c>
      <c r="F6" s="245">
        <v>97</v>
      </c>
      <c r="G6" s="245">
        <v>100</v>
      </c>
      <c r="H6" s="245">
        <v>100</v>
      </c>
      <c r="I6" s="245"/>
      <c r="J6" s="245"/>
      <c r="K6" s="245"/>
      <c r="L6" s="245">
        <f t="shared" si="0"/>
        <v>98.333333333333329</v>
      </c>
      <c r="M6" s="243">
        <v>66</v>
      </c>
      <c r="N6" s="245">
        <v>80</v>
      </c>
      <c r="O6" s="245">
        <v>82</v>
      </c>
      <c r="P6" s="245">
        <v>91</v>
      </c>
      <c r="Q6" s="245">
        <v>92</v>
      </c>
      <c r="R6" s="245">
        <v>88</v>
      </c>
      <c r="S6" s="245">
        <v>94</v>
      </c>
      <c r="T6" s="245">
        <v>92</v>
      </c>
      <c r="U6" s="245">
        <v>95</v>
      </c>
      <c r="V6" s="245">
        <v>76</v>
      </c>
      <c r="W6" s="245">
        <f t="shared" si="1"/>
        <v>85.6</v>
      </c>
      <c r="X6" s="245">
        <v>100</v>
      </c>
      <c r="Y6" s="245">
        <v>89</v>
      </c>
      <c r="Z6" s="245">
        <v>95</v>
      </c>
      <c r="AA6" s="245">
        <v>99</v>
      </c>
      <c r="AB6" s="245">
        <v>100</v>
      </c>
      <c r="AC6" s="245"/>
      <c r="AD6" s="245"/>
      <c r="AE6" s="245"/>
      <c r="AF6" s="245"/>
      <c r="AG6" s="245">
        <f t="shared" si="2"/>
        <v>96.6</v>
      </c>
      <c r="AH6" s="245">
        <v>75</v>
      </c>
      <c r="AI6" s="245">
        <v>87</v>
      </c>
      <c r="AJ6" s="245">
        <v>98</v>
      </c>
      <c r="AK6" s="245">
        <v>91</v>
      </c>
      <c r="AL6" s="245">
        <v>96</v>
      </c>
      <c r="AM6" s="245">
        <v>92</v>
      </c>
      <c r="AN6" s="245"/>
      <c r="AO6" s="245"/>
      <c r="AP6" s="245"/>
      <c r="AQ6" s="245"/>
      <c r="AR6" s="245"/>
      <c r="AS6" s="245">
        <f t="shared" si="3"/>
        <v>88.883333333333326</v>
      </c>
      <c r="AT6" s="235"/>
      <c r="AU6" s="245">
        <v>92</v>
      </c>
      <c r="AV6" s="245" t="e">
        <f t="shared" si="4"/>
        <v>#DIV/0!</v>
      </c>
      <c r="AW6" s="245">
        <f t="shared" si="4"/>
        <v>90.441666666666663</v>
      </c>
      <c r="AX6" s="245" t="e">
        <f t="shared" si="5"/>
        <v>#DIV/0!</v>
      </c>
      <c r="AY6" s="59">
        <f t="shared" si="6"/>
        <v>92</v>
      </c>
    </row>
    <row r="7" spans="1:51" ht="18.75" customHeight="1">
      <c r="A7" s="147">
        <v>4</v>
      </c>
      <c r="B7" s="135" t="str">
        <f>VLOOKUP(A7,緊急聯絡!A$2:C$27,3,0)</f>
        <v>李奎煜</v>
      </c>
      <c r="C7" s="245">
        <v>100</v>
      </c>
      <c r="D7" s="245">
        <v>100</v>
      </c>
      <c r="E7" s="245">
        <v>99</v>
      </c>
      <c r="F7" s="245">
        <v>100</v>
      </c>
      <c r="G7" s="245">
        <v>90</v>
      </c>
      <c r="H7" s="245">
        <v>100</v>
      </c>
      <c r="I7" s="245"/>
      <c r="J7" s="245"/>
      <c r="K7" s="245"/>
      <c r="L7" s="245">
        <f t="shared" si="0"/>
        <v>98.166666666666671</v>
      </c>
      <c r="M7" s="243">
        <v>96</v>
      </c>
      <c r="N7" s="245">
        <v>92</v>
      </c>
      <c r="O7" s="245">
        <v>100</v>
      </c>
      <c r="P7" s="245">
        <v>100</v>
      </c>
      <c r="Q7" s="245">
        <v>94</v>
      </c>
      <c r="R7" s="245">
        <v>100</v>
      </c>
      <c r="S7" s="245">
        <v>100</v>
      </c>
      <c r="T7" s="245">
        <v>94</v>
      </c>
      <c r="U7" s="245">
        <v>88</v>
      </c>
      <c r="V7" s="245">
        <v>100</v>
      </c>
      <c r="W7" s="245">
        <f t="shared" si="1"/>
        <v>96.4</v>
      </c>
      <c r="X7" s="245">
        <v>99</v>
      </c>
      <c r="Y7" s="245">
        <v>96</v>
      </c>
      <c r="Z7" s="245">
        <v>100</v>
      </c>
      <c r="AA7" s="245">
        <v>100</v>
      </c>
      <c r="AB7" s="245">
        <v>100</v>
      </c>
      <c r="AC7" s="245"/>
      <c r="AD7" s="245"/>
      <c r="AE7" s="245"/>
      <c r="AF7" s="245"/>
      <c r="AG7" s="245">
        <f t="shared" si="2"/>
        <v>99</v>
      </c>
      <c r="AH7" s="245">
        <v>97</v>
      </c>
      <c r="AI7" s="245">
        <v>100</v>
      </c>
      <c r="AJ7" s="245">
        <v>97</v>
      </c>
      <c r="AK7" s="245">
        <v>100</v>
      </c>
      <c r="AL7" s="245">
        <v>100</v>
      </c>
      <c r="AM7" s="245">
        <v>100</v>
      </c>
      <c r="AN7" s="245"/>
      <c r="AO7" s="245"/>
      <c r="AP7" s="245"/>
      <c r="AQ7" s="245"/>
      <c r="AR7" s="245"/>
      <c r="AS7" s="245">
        <f t="shared" si="3"/>
        <v>97.641666666666666</v>
      </c>
      <c r="AT7" s="235"/>
      <c r="AU7" s="245">
        <v>100</v>
      </c>
      <c r="AV7" s="245" t="e">
        <f t="shared" si="4"/>
        <v>#DIV/0!</v>
      </c>
      <c r="AW7" s="245">
        <f t="shared" si="4"/>
        <v>98.820833333333326</v>
      </c>
      <c r="AX7" s="245" t="e">
        <f t="shared" si="5"/>
        <v>#DIV/0!</v>
      </c>
      <c r="AY7" s="59">
        <f t="shared" si="6"/>
        <v>100</v>
      </c>
    </row>
    <row r="8" spans="1:51" ht="18.75" customHeight="1">
      <c r="A8" s="147">
        <v>5</v>
      </c>
      <c r="B8" s="135" t="str">
        <f>VLOOKUP(A8,緊急聯絡!A$2:C$27,3,0)</f>
        <v>葉翃均</v>
      </c>
      <c r="C8" s="245">
        <v>96</v>
      </c>
      <c r="D8" s="245">
        <v>81</v>
      </c>
      <c r="E8" s="245">
        <v>99</v>
      </c>
      <c r="F8" s="245">
        <v>92</v>
      </c>
      <c r="G8" s="245">
        <v>100</v>
      </c>
      <c r="H8" s="245">
        <v>100</v>
      </c>
      <c r="I8" s="245"/>
      <c r="J8" s="245"/>
      <c r="K8" s="245"/>
      <c r="L8" s="245">
        <f t="shared" si="0"/>
        <v>94.666666666666671</v>
      </c>
      <c r="M8" s="243">
        <v>85</v>
      </c>
      <c r="N8" s="245">
        <v>92</v>
      </c>
      <c r="O8" s="245">
        <v>73</v>
      </c>
      <c r="P8" s="245">
        <v>92</v>
      </c>
      <c r="Q8" s="245">
        <v>80</v>
      </c>
      <c r="R8" s="245">
        <v>87</v>
      </c>
      <c r="S8" s="245">
        <v>79</v>
      </c>
      <c r="T8" s="245">
        <v>94</v>
      </c>
      <c r="U8" s="245">
        <v>91</v>
      </c>
      <c r="V8" s="245">
        <v>78</v>
      </c>
      <c r="W8" s="245">
        <f t="shared" si="1"/>
        <v>85.1</v>
      </c>
      <c r="X8" s="245">
        <v>100</v>
      </c>
      <c r="Y8" s="245">
        <v>100</v>
      </c>
      <c r="Z8" s="245">
        <v>100</v>
      </c>
      <c r="AA8" s="245">
        <v>100</v>
      </c>
      <c r="AB8" s="245">
        <v>100</v>
      </c>
      <c r="AC8" s="245"/>
      <c r="AD8" s="245"/>
      <c r="AE8" s="245"/>
      <c r="AF8" s="245"/>
      <c r="AG8" s="245">
        <f t="shared" si="2"/>
        <v>100</v>
      </c>
      <c r="AH8" s="245">
        <v>90</v>
      </c>
      <c r="AI8" s="245">
        <v>98</v>
      </c>
      <c r="AJ8" s="245">
        <v>96</v>
      </c>
      <c r="AK8" s="245">
        <v>94</v>
      </c>
      <c r="AL8" s="245">
        <v>99</v>
      </c>
      <c r="AM8" s="245"/>
      <c r="AN8" s="245"/>
      <c r="AO8" s="245"/>
      <c r="AP8" s="245"/>
      <c r="AQ8" s="245"/>
      <c r="AR8" s="245"/>
      <c r="AS8" s="245">
        <f t="shared" si="3"/>
        <v>92.441666666666663</v>
      </c>
      <c r="AT8" s="235"/>
      <c r="AU8" s="245">
        <v>88</v>
      </c>
      <c r="AV8" s="245" t="e">
        <f t="shared" si="4"/>
        <v>#DIV/0!</v>
      </c>
      <c r="AW8" s="245">
        <f t="shared" si="4"/>
        <v>90.220833333333331</v>
      </c>
      <c r="AX8" s="245" t="e">
        <f t="shared" si="5"/>
        <v>#DIV/0!</v>
      </c>
      <c r="AY8" s="59">
        <f t="shared" si="6"/>
        <v>88</v>
      </c>
    </row>
    <row r="9" spans="1:51" ht="18.75" customHeight="1">
      <c r="A9" s="147">
        <v>6</v>
      </c>
      <c r="B9" s="135" t="str">
        <f>VLOOKUP(A9,緊急聯絡!A$2:C$27,3,0)</f>
        <v>王奕勳</v>
      </c>
      <c r="C9" s="245">
        <v>90</v>
      </c>
      <c r="D9" s="245">
        <v>97</v>
      </c>
      <c r="E9" s="245">
        <v>97</v>
      </c>
      <c r="F9" s="245">
        <v>94</v>
      </c>
      <c r="G9" s="245">
        <v>100</v>
      </c>
      <c r="H9" s="245">
        <v>100</v>
      </c>
      <c r="I9" s="245"/>
      <c r="J9" s="245"/>
      <c r="K9" s="245"/>
      <c r="L9" s="245">
        <f t="shared" si="0"/>
        <v>96.333333333333329</v>
      </c>
      <c r="M9" s="243">
        <v>97</v>
      </c>
      <c r="N9" s="245">
        <v>93</v>
      </c>
      <c r="O9" s="245">
        <v>81</v>
      </c>
      <c r="P9" s="245">
        <v>98</v>
      </c>
      <c r="Q9" s="245">
        <v>94</v>
      </c>
      <c r="R9" s="245">
        <v>86</v>
      </c>
      <c r="S9" s="245">
        <v>97</v>
      </c>
      <c r="T9" s="245">
        <v>99</v>
      </c>
      <c r="U9" s="245">
        <v>90</v>
      </c>
      <c r="V9" s="245">
        <v>91</v>
      </c>
      <c r="W9" s="245">
        <f t="shared" si="1"/>
        <v>92.6</v>
      </c>
      <c r="X9" s="245">
        <v>97</v>
      </c>
      <c r="Y9" s="245">
        <v>100</v>
      </c>
      <c r="Z9" s="245">
        <v>100</v>
      </c>
      <c r="AA9" s="245">
        <v>98</v>
      </c>
      <c r="AB9" s="245">
        <v>100</v>
      </c>
      <c r="AC9" s="245"/>
      <c r="AD9" s="245"/>
      <c r="AE9" s="245"/>
      <c r="AF9" s="245"/>
      <c r="AG9" s="245">
        <f t="shared" si="2"/>
        <v>99</v>
      </c>
      <c r="AH9" s="245">
        <v>92</v>
      </c>
      <c r="AI9" s="245">
        <v>91</v>
      </c>
      <c r="AJ9" s="245">
        <v>93</v>
      </c>
      <c r="AK9" s="245">
        <v>100</v>
      </c>
      <c r="AL9" s="245">
        <v>100</v>
      </c>
      <c r="AM9" s="245">
        <v>94</v>
      </c>
      <c r="AN9" s="245"/>
      <c r="AO9" s="245"/>
      <c r="AP9" s="245"/>
      <c r="AQ9" s="245"/>
      <c r="AR9" s="245"/>
      <c r="AS9" s="245">
        <f t="shared" si="3"/>
        <v>94.983333333333334</v>
      </c>
      <c r="AT9" s="235"/>
      <c r="AU9" s="245">
        <v>88</v>
      </c>
      <c r="AV9" s="245" t="e">
        <f t="shared" si="4"/>
        <v>#DIV/0!</v>
      </c>
      <c r="AW9" s="245">
        <f t="shared" si="4"/>
        <v>91.491666666666674</v>
      </c>
      <c r="AX9" s="245" t="e">
        <f t="shared" si="5"/>
        <v>#DIV/0!</v>
      </c>
      <c r="AY9" s="59">
        <f t="shared" si="6"/>
        <v>88</v>
      </c>
    </row>
    <row r="10" spans="1:51" ht="18.75" customHeight="1">
      <c r="A10" s="147">
        <v>7</v>
      </c>
      <c r="B10" s="135" t="str">
        <f>VLOOKUP(A10,緊急聯絡!A$2:C$27,3,0)</f>
        <v>葉彥均</v>
      </c>
      <c r="C10" s="245">
        <v>90</v>
      </c>
      <c r="D10" s="245">
        <v>94</v>
      </c>
      <c r="E10" s="245">
        <v>98</v>
      </c>
      <c r="F10" s="245">
        <v>100</v>
      </c>
      <c r="G10" s="245">
        <v>98</v>
      </c>
      <c r="H10" s="245">
        <v>100</v>
      </c>
      <c r="I10" s="245"/>
      <c r="J10" s="245"/>
      <c r="K10" s="245"/>
      <c r="L10" s="245">
        <f t="shared" si="0"/>
        <v>96.666666666666671</v>
      </c>
      <c r="M10" s="243">
        <v>45</v>
      </c>
      <c r="N10" s="245">
        <v>43</v>
      </c>
      <c r="O10" s="245">
        <v>45</v>
      </c>
      <c r="P10" s="245">
        <v>67</v>
      </c>
      <c r="Q10" s="245">
        <v>76</v>
      </c>
      <c r="R10" s="245">
        <v>70</v>
      </c>
      <c r="S10" s="245">
        <v>78</v>
      </c>
      <c r="T10" s="245">
        <v>87</v>
      </c>
      <c r="U10" s="245">
        <v>60</v>
      </c>
      <c r="V10" s="245">
        <v>55</v>
      </c>
      <c r="W10" s="245">
        <f t="shared" si="1"/>
        <v>62.6</v>
      </c>
      <c r="X10" s="245">
        <v>45</v>
      </c>
      <c r="Y10" s="245">
        <v>82</v>
      </c>
      <c r="Z10" s="245">
        <v>96</v>
      </c>
      <c r="AA10" s="245">
        <v>74</v>
      </c>
      <c r="AB10" s="245">
        <v>89</v>
      </c>
      <c r="AC10" s="245"/>
      <c r="AD10" s="245"/>
      <c r="AE10" s="245"/>
      <c r="AF10" s="245"/>
      <c r="AG10" s="245">
        <f t="shared" si="2"/>
        <v>77.2</v>
      </c>
      <c r="AH10" s="245">
        <v>86</v>
      </c>
      <c r="AI10" s="245">
        <v>75</v>
      </c>
      <c r="AJ10" s="245">
        <v>82</v>
      </c>
      <c r="AK10" s="245">
        <v>98</v>
      </c>
      <c r="AL10" s="245">
        <v>87</v>
      </c>
      <c r="AM10" s="245">
        <v>92</v>
      </c>
      <c r="AN10" s="245"/>
      <c r="AO10" s="245"/>
      <c r="AP10" s="245"/>
      <c r="AQ10" s="245"/>
      <c r="AR10" s="245"/>
      <c r="AS10" s="245">
        <f t="shared" si="3"/>
        <v>80.616666666666674</v>
      </c>
      <c r="AT10" s="235"/>
      <c r="AU10" s="245">
        <v>64</v>
      </c>
      <c r="AV10" s="245" t="e">
        <f t="shared" si="4"/>
        <v>#DIV/0!</v>
      </c>
      <c r="AW10" s="245">
        <f t="shared" si="4"/>
        <v>72.308333333333337</v>
      </c>
      <c r="AX10" s="245" t="e">
        <f t="shared" si="5"/>
        <v>#DIV/0!</v>
      </c>
      <c r="AY10" s="59">
        <f t="shared" si="6"/>
        <v>64</v>
      </c>
    </row>
    <row r="11" spans="1:51" ht="18.75" customHeight="1">
      <c r="A11" s="147">
        <v>8</v>
      </c>
      <c r="B11" s="135" t="str">
        <f>VLOOKUP(A11,緊急聯絡!A$2:C$27,3,0)</f>
        <v>洪楷珅</v>
      </c>
      <c r="C11" s="245">
        <v>95</v>
      </c>
      <c r="D11" s="245">
        <v>93</v>
      </c>
      <c r="E11" s="245">
        <v>97</v>
      </c>
      <c r="F11" s="245">
        <v>100</v>
      </c>
      <c r="G11" s="245">
        <v>100</v>
      </c>
      <c r="H11" s="245">
        <v>100</v>
      </c>
      <c r="I11" s="245"/>
      <c r="J11" s="245"/>
      <c r="K11" s="245"/>
      <c r="L11" s="245">
        <f t="shared" si="0"/>
        <v>97.5</v>
      </c>
      <c r="M11" s="243">
        <v>66</v>
      </c>
      <c r="N11" s="245">
        <v>72</v>
      </c>
      <c r="O11" s="245">
        <v>74</v>
      </c>
      <c r="P11" s="245">
        <v>82</v>
      </c>
      <c r="Q11" s="245">
        <v>74</v>
      </c>
      <c r="R11" s="245">
        <v>75</v>
      </c>
      <c r="S11" s="245">
        <v>98</v>
      </c>
      <c r="T11" s="245">
        <v>90</v>
      </c>
      <c r="U11" s="245">
        <v>92</v>
      </c>
      <c r="V11" s="245">
        <v>39</v>
      </c>
      <c r="W11" s="245">
        <f t="shared" si="1"/>
        <v>76.2</v>
      </c>
      <c r="X11" s="245">
        <v>60</v>
      </c>
      <c r="Y11" s="245">
        <v>100</v>
      </c>
      <c r="Z11" s="245">
        <v>99</v>
      </c>
      <c r="AA11" s="245">
        <v>100</v>
      </c>
      <c r="AB11" s="245">
        <v>100</v>
      </c>
      <c r="AC11" s="245"/>
      <c r="AD11" s="245"/>
      <c r="AE11" s="245"/>
      <c r="AF11" s="245"/>
      <c r="AG11" s="245">
        <f t="shared" si="2"/>
        <v>91.8</v>
      </c>
      <c r="AH11" s="245">
        <v>93</v>
      </c>
      <c r="AI11" s="245">
        <v>83</v>
      </c>
      <c r="AJ11" s="245">
        <v>89</v>
      </c>
      <c r="AK11" s="245">
        <v>92</v>
      </c>
      <c r="AL11" s="245">
        <v>100</v>
      </c>
      <c r="AM11" s="245">
        <v>87</v>
      </c>
      <c r="AN11" s="245">
        <v>100</v>
      </c>
      <c r="AO11" s="245"/>
      <c r="AP11" s="245"/>
      <c r="AQ11" s="245"/>
      <c r="AR11" s="245"/>
      <c r="AS11" s="245">
        <f t="shared" si="3"/>
        <v>89.625</v>
      </c>
      <c r="AT11" s="235"/>
      <c r="AU11" s="245">
        <v>86</v>
      </c>
      <c r="AV11" s="245" t="e">
        <f t="shared" si="4"/>
        <v>#DIV/0!</v>
      </c>
      <c r="AW11" s="245">
        <f t="shared" si="4"/>
        <v>87.8125</v>
      </c>
      <c r="AX11" s="245" t="e">
        <f t="shared" si="5"/>
        <v>#DIV/0!</v>
      </c>
      <c r="AY11" s="59">
        <f t="shared" si="6"/>
        <v>86</v>
      </c>
    </row>
    <row r="12" spans="1:51" ht="18.75" customHeight="1">
      <c r="A12" s="147">
        <v>9</v>
      </c>
      <c r="B12" s="135" t="str">
        <f>VLOOKUP(A12,緊急聯絡!A$2:C$27,3,0)</f>
        <v>吳承哲</v>
      </c>
      <c r="C12" s="245">
        <v>100</v>
      </c>
      <c r="D12" s="245">
        <v>98</v>
      </c>
      <c r="E12" s="245">
        <v>100</v>
      </c>
      <c r="F12" s="245">
        <v>100</v>
      </c>
      <c r="G12" s="245">
        <v>100</v>
      </c>
      <c r="H12" s="245">
        <v>100</v>
      </c>
      <c r="I12" s="245"/>
      <c r="J12" s="245"/>
      <c r="K12" s="245"/>
      <c r="L12" s="245">
        <f t="shared" si="0"/>
        <v>99.666666666666671</v>
      </c>
      <c r="M12" s="243">
        <v>82</v>
      </c>
      <c r="N12" s="245">
        <v>94</v>
      </c>
      <c r="O12" s="245">
        <v>96</v>
      </c>
      <c r="P12" s="245">
        <v>100</v>
      </c>
      <c r="Q12" s="245">
        <v>88</v>
      </c>
      <c r="R12" s="245">
        <v>95</v>
      </c>
      <c r="S12" s="245">
        <v>80</v>
      </c>
      <c r="T12" s="245">
        <v>98</v>
      </c>
      <c r="U12" s="245">
        <v>100</v>
      </c>
      <c r="V12" s="245">
        <v>100</v>
      </c>
      <c r="W12" s="245">
        <f t="shared" si="1"/>
        <v>93.3</v>
      </c>
      <c r="X12" s="245">
        <v>100</v>
      </c>
      <c r="Y12" s="245">
        <v>99</v>
      </c>
      <c r="Z12" s="245">
        <v>100</v>
      </c>
      <c r="AA12" s="245">
        <v>99</v>
      </c>
      <c r="AB12" s="245">
        <v>98</v>
      </c>
      <c r="AC12" s="245"/>
      <c r="AD12" s="245"/>
      <c r="AE12" s="245"/>
      <c r="AF12" s="245"/>
      <c r="AG12" s="245">
        <f t="shared" si="2"/>
        <v>99.2</v>
      </c>
      <c r="AH12" s="245">
        <v>91</v>
      </c>
      <c r="AI12" s="245">
        <v>100</v>
      </c>
      <c r="AJ12" s="245">
        <v>96</v>
      </c>
      <c r="AK12" s="245">
        <v>99</v>
      </c>
      <c r="AL12" s="245">
        <v>100</v>
      </c>
      <c r="AM12" s="245">
        <v>100</v>
      </c>
      <c r="AN12" s="245"/>
      <c r="AO12" s="245"/>
      <c r="AP12" s="245"/>
      <c r="AQ12" s="245"/>
      <c r="AR12" s="245"/>
      <c r="AS12" s="245">
        <f t="shared" si="3"/>
        <v>95.791666666666671</v>
      </c>
      <c r="AT12" s="235"/>
      <c r="AU12" s="245">
        <v>96</v>
      </c>
      <c r="AV12" s="245" t="e">
        <f t="shared" si="4"/>
        <v>#DIV/0!</v>
      </c>
      <c r="AW12" s="245">
        <f t="shared" si="4"/>
        <v>95.895833333333343</v>
      </c>
      <c r="AX12" s="245" t="e">
        <f t="shared" si="5"/>
        <v>#DIV/0!</v>
      </c>
      <c r="AY12" s="59">
        <f t="shared" si="6"/>
        <v>96</v>
      </c>
    </row>
    <row r="13" spans="1:51" ht="18.75" customHeight="1">
      <c r="A13" s="147">
        <v>10</v>
      </c>
      <c r="B13" s="135" t="str">
        <f>VLOOKUP(A13,緊急聯絡!A$2:C$27,3,0)</f>
        <v>李宥霆</v>
      </c>
      <c r="C13" s="245">
        <v>92</v>
      </c>
      <c r="D13" s="245">
        <v>99</v>
      </c>
      <c r="E13" s="245">
        <v>98</v>
      </c>
      <c r="F13" s="245">
        <v>100</v>
      </c>
      <c r="G13" s="245">
        <v>100</v>
      </c>
      <c r="H13" s="245">
        <v>100</v>
      </c>
      <c r="I13" s="245"/>
      <c r="J13" s="245"/>
      <c r="K13" s="245"/>
      <c r="L13" s="245">
        <f t="shared" si="0"/>
        <v>98.166666666666671</v>
      </c>
      <c r="M13" s="243">
        <v>52</v>
      </c>
      <c r="N13" s="245">
        <v>68</v>
      </c>
      <c r="O13" s="245">
        <v>37</v>
      </c>
      <c r="P13" s="245">
        <v>57</v>
      </c>
      <c r="Q13" s="245">
        <v>70</v>
      </c>
      <c r="R13" s="245">
        <v>67</v>
      </c>
      <c r="S13" s="245">
        <v>93</v>
      </c>
      <c r="T13" s="245">
        <v>99</v>
      </c>
      <c r="U13" s="245">
        <v>93</v>
      </c>
      <c r="V13" s="245">
        <v>51</v>
      </c>
      <c r="W13" s="245">
        <f t="shared" si="1"/>
        <v>68.7</v>
      </c>
      <c r="X13" s="245">
        <v>96</v>
      </c>
      <c r="Y13" s="245">
        <v>97</v>
      </c>
      <c r="Z13" s="245">
        <v>96</v>
      </c>
      <c r="AA13" s="245">
        <v>96</v>
      </c>
      <c r="AB13" s="245">
        <v>100</v>
      </c>
      <c r="AC13" s="245"/>
      <c r="AD13" s="245"/>
      <c r="AE13" s="245"/>
      <c r="AF13" s="245"/>
      <c r="AG13" s="245">
        <f t="shared" si="2"/>
        <v>97</v>
      </c>
      <c r="AH13" s="245">
        <v>95</v>
      </c>
      <c r="AI13" s="245">
        <v>63</v>
      </c>
      <c r="AJ13" s="245">
        <v>52</v>
      </c>
      <c r="AK13" s="245">
        <v>61</v>
      </c>
      <c r="AL13" s="245">
        <v>82</v>
      </c>
      <c r="AM13" s="245"/>
      <c r="AN13" s="245"/>
      <c r="AO13" s="245"/>
      <c r="AP13" s="245"/>
      <c r="AQ13" s="245"/>
      <c r="AR13" s="245"/>
      <c r="AS13" s="245">
        <f t="shared" si="3"/>
        <v>89.716666666666669</v>
      </c>
      <c r="AT13" s="235"/>
      <c r="AU13" s="245">
        <v>64</v>
      </c>
      <c r="AV13" s="245" t="e">
        <f t="shared" si="4"/>
        <v>#DIV/0!</v>
      </c>
      <c r="AW13" s="245">
        <f t="shared" si="4"/>
        <v>76.858333333333334</v>
      </c>
      <c r="AX13" s="245" t="e">
        <f t="shared" si="5"/>
        <v>#DIV/0!</v>
      </c>
      <c r="AY13" s="59">
        <f t="shared" si="6"/>
        <v>64</v>
      </c>
    </row>
    <row r="14" spans="1:51" ht="18.75" customHeight="1">
      <c r="A14" s="147">
        <v>11</v>
      </c>
      <c r="B14" s="135" t="str">
        <f>VLOOKUP(A14,緊急聯絡!A$2:C$27,3,0)</f>
        <v>柯皓哲</v>
      </c>
      <c r="C14" s="245">
        <v>97</v>
      </c>
      <c r="D14" s="245">
        <v>98</v>
      </c>
      <c r="E14" s="245">
        <v>83</v>
      </c>
      <c r="F14" s="245">
        <v>100</v>
      </c>
      <c r="G14" s="245">
        <v>100</v>
      </c>
      <c r="H14" s="245">
        <v>100</v>
      </c>
      <c r="I14" s="245"/>
      <c r="J14" s="245"/>
      <c r="K14" s="245"/>
      <c r="L14" s="245">
        <f t="shared" si="0"/>
        <v>96.333333333333329</v>
      </c>
      <c r="M14" s="243">
        <v>53</v>
      </c>
      <c r="N14" s="245">
        <v>72</v>
      </c>
      <c r="O14" s="245">
        <v>84</v>
      </c>
      <c r="P14" s="245">
        <v>91</v>
      </c>
      <c r="Q14" s="245">
        <v>74</v>
      </c>
      <c r="R14" s="245">
        <v>91</v>
      </c>
      <c r="S14" s="245">
        <v>83</v>
      </c>
      <c r="T14" s="245">
        <v>79</v>
      </c>
      <c r="U14" s="245">
        <v>88</v>
      </c>
      <c r="V14" s="245">
        <v>51</v>
      </c>
      <c r="W14" s="245">
        <f t="shared" si="1"/>
        <v>76.599999999999994</v>
      </c>
      <c r="X14" s="245">
        <v>98</v>
      </c>
      <c r="Y14" s="245">
        <v>94</v>
      </c>
      <c r="Z14" s="245">
        <v>100</v>
      </c>
      <c r="AA14" s="245">
        <v>99</v>
      </c>
      <c r="AB14" s="245">
        <v>100</v>
      </c>
      <c r="AC14" s="245"/>
      <c r="AD14" s="245"/>
      <c r="AE14" s="245"/>
      <c r="AF14" s="245"/>
      <c r="AG14" s="245">
        <f t="shared" si="2"/>
        <v>98.2</v>
      </c>
      <c r="AH14" s="245">
        <v>79</v>
      </c>
      <c r="AI14" s="245">
        <v>88</v>
      </c>
      <c r="AJ14" s="245">
        <v>97</v>
      </c>
      <c r="AK14" s="245">
        <v>93</v>
      </c>
      <c r="AL14" s="245">
        <v>92</v>
      </c>
      <c r="AM14" s="245">
        <v>100</v>
      </c>
      <c r="AN14" s="245"/>
      <c r="AO14" s="245"/>
      <c r="AP14" s="245"/>
      <c r="AQ14" s="245"/>
      <c r="AR14" s="245"/>
      <c r="AS14" s="245">
        <f t="shared" si="3"/>
        <v>87.533333333333331</v>
      </c>
      <c r="AT14" s="235"/>
      <c r="AU14" s="245">
        <v>92</v>
      </c>
      <c r="AV14" s="245" t="e">
        <f t="shared" si="4"/>
        <v>#DIV/0!</v>
      </c>
      <c r="AW14" s="245">
        <f t="shared" si="4"/>
        <v>89.766666666666666</v>
      </c>
      <c r="AX14" s="245" t="e">
        <f t="shared" si="5"/>
        <v>#DIV/0!</v>
      </c>
      <c r="AY14" s="59">
        <f t="shared" si="6"/>
        <v>92</v>
      </c>
    </row>
    <row r="15" spans="1:51" ht="18.75" customHeight="1">
      <c r="A15" s="147">
        <v>12</v>
      </c>
      <c r="B15" s="135" t="str">
        <f>VLOOKUP(A15,緊急聯絡!A$2:C$27,3,0)</f>
        <v>魏宇謙</v>
      </c>
      <c r="C15" s="245">
        <v>98</v>
      </c>
      <c r="D15" s="245">
        <v>97</v>
      </c>
      <c r="E15" s="245">
        <v>98</v>
      </c>
      <c r="F15" s="245">
        <v>100</v>
      </c>
      <c r="G15" s="245">
        <v>96</v>
      </c>
      <c r="H15" s="245">
        <v>100</v>
      </c>
      <c r="I15" s="245"/>
      <c r="J15" s="245"/>
      <c r="K15" s="245"/>
      <c r="L15" s="245">
        <f t="shared" si="0"/>
        <v>98.166666666666671</v>
      </c>
      <c r="M15" s="243">
        <v>87</v>
      </c>
      <c r="N15" s="245">
        <v>85</v>
      </c>
      <c r="O15" s="245">
        <v>98</v>
      </c>
      <c r="P15" s="245">
        <v>93</v>
      </c>
      <c r="Q15" s="245">
        <v>94</v>
      </c>
      <c r="R15" s="245">
        <v>89</v>
      </c>
      <c r="S15" s="245">
        <v>92</v>
      </c>
      <c r="T15" s="245">
        <v>94</v>
      </c>
      <c r="U15" s="245">
        <v>100</v>
      </c>
      <c r="V15" s="245">
        <v>90</v>
      </c>
      <c r="W15" s="245">
        <f t="shared" si="1"/>
        <v>92.2</v>
      </c>
      <c r="X15" s="245">
        <v>98</v>
      </c>
      <c r="Y15" s="245">
        <v>97</v>
      </c>
      <c r="Z15" s="245">
        <v>100</v>
      </c>
      <c r="AA15" s="245">
        <v>100</v>
      </c>
      <c r="AB15" s="245">
        <v>96</v>
      </c>
      <c r="AC15" s="245"/>
      <c r="AD15" s="245"/>
      <c r="AE15" s="245"/>
      <c r="AF15" s="245"/>
      <c r="AG15" s="245">
        <f t="shared" si="2"/>
        <v>98.2</v>
      </c>
      <c r="AH15" s="245">
        <v>87</v>
      </c>
      <c r="AI15" s="245">
        <v>96</v>
      </c>
      <c r="AJ15" s="245">
        <v>96</v>
      </c>
      <c r="AK15" s="245">
        <v>100</v>
      </c>
      <c r="AL15" s="245">
        <v>100</v>
      </c>
      <c r="AM15" s="245">
        <v>96</v>
      </c>
      <c r="AN15" s="245"/>
      <c r="AO15" s="245"/>
      <c r="AP15" s="245"/>
      <c r="AQ15" s="245"/>
      <c r="AR15" s="245"/>
      <c r="AS15" s="245">
        <f t="shared" si="3"/>
        <v>93.891666666666666</v>
      </c>
      <c r="AT15" s="235"/>
      <c r="AU15" s="245">
        <v>93</v>
      </c>
      <c r="AV15" s="245" t="e">
        <f t="shared" si="4"/>
        <v>#DIV/0!</v>
      </c>
      <c r="AW15" s="245">
        <f t="shared" si="4"/>
        <v>93.445833333333326</v>
      </c>
      <c r="AX15" s="245" t="e">
        <f t="shared" si="5"/>
        <v>#DIV/0!</v>
      </c>
      <c r="AY15" s="59">
        <f t="shared" si="6"/>
        <v>93</v>
      </c>
    </row>
    <row r="16" spans="1:51" ht="18.75" customHeight="1">
      <c r="A16" s="147">
        <v>13</v>
      </c>
      <c r="B16" s="135" t="str">
        <f>VLOOKUP(A16,緊急聯絡!A$2:C$27,3,0)</f>
        <v>林季曄</v>
      </c>
      <c r="C16" s="245">
        <v>76</v>
      </c>
      <c r="D16" s="245">
        <v>83</v>
      </c>
      <c r="E16" s="245">
        <v>81</v>
      </c>
      <c r="F16" s="245">
        <v>100</v>
      </c>
      <c r="G16" s="245">
        <v>94</v>
      </c>
      <c r="H16" s="245">
        <v>83</v>
      </c>
      <c r="I16" s="245"/>
      <c r="J16" s="245"/>
      <c r="K16" s="245"/>
      <c r="L16" s="245">
        <f t="shared" si="0"/>
        <v>86.166666666666671</v>
      </c>
      <c r="M16" s="243">
        <v>70</v>
      </c>
      <c r="N16" s="245">
        <v>78</v>
      </c>
      <c r="O16" s="245">
        <v>73</v>
      </c>
      <c r="P16" s="245">
        <v>87</v>
      </c>
      <c r="Q16" s="245">
        <v>94</v>
      </c>
      <c r="R16" s="245">
        <v>70</v>
      </c>
      <c r="S16" s="245">
        <v>95</v>
      </c>
      <c r="T16" s="245">
        <v>85</v>
      </c>
      <c r="U16" s="245">
        <v>99</v>
      </c>
      <c r="V16" s="245">
        <v>80</v>
      </c>
      <c r="W16" s="245">
        <f t="shared" si="1"/>
        <v>83.1</v>
      </c>
      <c r="X16" s="245">
        <v>84</v>
      </c>
      <c r="Y16" s="245">
        <v>98</v>
      </c>
      <c r="Z16" s="245">
        <v>87</v>
      </c>
      <c r="AA16" s="245">
        <v>98</v>
      </c>
      <c r="AB16" s="245">
        <v>92</v>
      </c>
      <c r="AC16" s="245"/>
      <c r="AD16" s="245"/>
      <c r="AE16" s="245"/>
      <c r="AF16" s="245"/>
      <c r="AG16" s="245">
        <f t="shared" si="2"/>
        <v>91.8</v>
      </c>
      <c r="AH16" s="245">
        <v>86</v>
      </c>
      <c r="AI16" s="245">
        <v>95</v>
      </c>
      <c r="AJ16" s="245">
        <v>90</v>
      </c>
      <c r="AK16" s="245">
        <v>98</v>
      </c>
      <c r="AL16" s="245">
        <v>94</v>
      </c>
      <c r="AM16" s="245">
        <v>88</v>
      </c>
      <c r="AN16" s="245"/>
      <c r="AO16" s="245"/>
      <c r="AP16" s="245"/>
      <c r="AQ16" s="245"/>
      <c r="AR16" s="245"/>
      <c r="AS16" s="245">
        <f t="shared" si="3"/>
        <v>86.766666666666666</v>
      </c>
      <c r="AT16" s="235"/>
      <c r="AU16" s="245">
        <v>86</v>
      </c>
      <c r="AV16" s="245" t="e">
        <f t="shared" si="4"/>
        <v>#DIV/0!</v>
      </c>
      <c r="AW16" s="245">
        <f t="shared" si="4"/>
        <v>86.383333333333326</v>
      </c>
      <c r="AX16" s="245" t="e">
        <f t="shared" si="5"/>
        <v>#DIV/0!</v>
      </c>
      <c r="AY16" s="59">
        <f t="shared" si="6"/>
        <v>86</v>
      </c>
    </row>
    <row r="17" spans="1:51" ht="18.75" customHeight="1">
      <c r="A17" s="147">
        <v>14</v>
      </c>
      <c r="B17" s="135" t="str">
        <f>VLOOKUP(A17,緊急聯絡!A$2:C$27,3,0)</f>
        <v>高翊庭</v>
      </c>
      <c r="C17" s="245">
        <v>100</v>
      </c>
      <c r="D17" s="245">
        <v>99</v>
      </c>
      <c r="E17" s="245">
        <v>100</v>
      </c>
      <c r="F17" s="245">
        <v>96</v>
      </c>
      <c r="G17" s="245">
        <v>100</v>
      </c>
      <c r="H17" s="245">
        <v>100</v>
      </c>
      <c r="I17" s="245"/>
      <c r="J17" s="245"/>
      <c r="K17" s="245"/>
      <c r="L17" s="245">
        <f t="shared" si="0"/>
        <v>99.166666666666671</v>
      </c>
      <c r="M17" s="243">
        <v>100</v>
      </c>
      <c r="N17" s="245">
        <v>98</v>
      </c>
      <c r="O17" s="245">
        <v>91</v>
      </c>
      <c r="P17" s="245">
        <v>100</v>
      </c>
      <c r="Q17" s="245">
        <v>100</v>
      </c>
      <c r="R17" s="245">
        <v>92</v>
      </c>
      <c r="S17" s="245">
        <v>100</v>
      </c>
      <c r="T17" s="245">
        <v>98</v>
      </c>
      <c r="U17" s="245">
        <v>100</v>
      </c>
      <c r="V17" s="245">
        <v>100</v>
      </c>
      <c r="W17" s="245">
        <f t="shared" si="1"/>
        <v>97.9</v>
      </c>
      <c r="X17" s="245">
        <v>100</v>
      </c>
      <c r="Y17" s="245">
        <v>98</v>
      </c>
      <c r="Z17" s="245">
        <v>100</v>
      </c>
      <c r="AA17" s="245">
        <v>100</v>
      </c>
      <c r="AB17" s="245">
        <v>100</v>
      </c>
      <c r="AC17" s="245"/>
      <c r="AD17" s="245"/>
      <c r="AE17" s="245"/>
      <c r="AF17" s="245"/>
      <c r="AG17" s="245">
        <f t="shared" si="2"/>
        <v>99.6</v>
      </c>
      <c r="AH17" s="245">
        <v>96</v>
      </c>
      <c r="AI17" s="245">
        <v>94</v>
      </c>
      <c r="AJ17" s="245">
        <v>98</v>
      </c>
      <c r="AK17" s="245">
        <v>99</v>
      </c>
      <c r="AL17" s="245">
        <v>99</v>
      </c>
      <c r="AM17" s="245">
        <v>100</v>
      </c>
      <c r="AN17" s="245"/>
      <c r="AO17" s="245"/>
      <c r="AP17" s="245"/>
      <c r="AQ17" s="245"/>
      <c r="AR17" s="245"/>
      <c r="AS17" s="245">
        <f t="shared" si="3"/>
        <v>98.166666666666657</v>
      </c>
      <c r="AT17" s="235"/>
      <c r="AU17" s="245">
        <v>97</v>
      </c>
      <c r="AV17" s="245" t="e">
        <f t="shared" si="4"/>
        <v>#DIV/0!</v>
      </c>
      <c r="AW17" s="245">
        <f t="shared" si="4"/>
        <v>97.583333333333329</v>
      </c>
      <c r="AX17" s="245" t="e">
        <f t="shared" si="5"/>
        <v>#DIV/0!</v>
      </c>
      <c r="AY17" s="59">
        <f t="shared" si="6"/>
        <v>97</v>
      </c>
    </row>
    <row r="18" spans="1:51" ht="18.75" customHeight="1">
      <c r="A18" s="147">
        <v>15</v>
      </c>
      <c r="B18" s="135" t="str">
        <f>VLOOKUP(A18,緊急聯絡!A$2:C$27,3,0)</f>
        <v>藍彩華</v>
      </c>
      <c r="C18" s="245">
        <v>100</v>
      </c>
      <c r="D18" s="245">
        <v>100</v>
      </c>
      <c r="E18" s="245">
        <v>98</v>
      </c>
      <c r="F18" s="245">
        <v>99</v>
      </c>
      <c r="G18" s="245">
        <v>100</v>
      </c>
      <c r="H18" s="245">
        <v>100</v>
      </c>
      <c r="I18" s="245"/>
      <c r="J18" s="245"/>
      <c r="K18" s="245"/>
      <c r="L18" s="245">
        <f t="shared" si="0"/>
        <v>99.5</v>
      </c>
      <c r="M18" s="243">
        <v>78</v>
      </c>
      <c r="N18" s="245">
        <v>99</v>
      </c>
      <c r="O18" s="245">
        <v>91</v>
      </c>
      <c r="P18" s="245">
        <v>93</v>
      </c>
      <c r="Q18" s="245">
        <v>94</v>
      </c>
      <c r="R18" s="245">
        <v>94</v>
      </c>
      <c r="S18" s="245">
        <v>100</v>
      </c>
      <c r="T18" s="245">
        <v>100</v>
      </c>
      <c r="U18" s="245">
        <v>97</v>
      </c>
      <c r="V18" s="245">
        <v>80</v>
      </c>
      <c r="W18" s="245">
        <f t="shared" si="1"/>
        <v>92.6</v>
      </c>
      <c r="X18" s="245">
        <v>98</v>
      </c>
      <c r="Y18" s="245">
        <v>100</v>
      </c>
      <c r="Z18" s="245">
        <v>100</v>
      </c>
      <c r="AA18" s="245">
        <v>98</v>
      </c>
      <c r="AB18" s="245">
        <v>100</v>
      </c>
      <c r="AC18" s="245"/>
      <c r="AD18" s="245"/>
      <c r="AE18" s="245"/>
      <c r="AF18" s="245"/>
      <c r="AG18" s="245">
        <f t="shared" si="2"/>
        <v>99.2</v>
      </c>
      <c r="AH18" s="245">
        <v>88</v>
      </c>
      <c r="AI18" s="245">
        <v>95</v>
      </c>
      <c r="AJ18" s="245">
        <v>93</v>
      </c>
      <c r="AK18" s="245">
        <v>97</v>
      </c>
      <c r="AL18" s="245">
        <v>95</v>
      </c>
      <c r="AM18" s="245">
        <v>100</v>
      </c>
      <c r="AN18" s="245"/>
      <c r="AO18" s="245"/>
      <c r="AP18" s="245"/>
      <c r="AQ18" s="245"/>
      <c r="AR18" s="245"/>
      <c r="AS18" s="245">
        <f t="shared" si="3"/>
        <v>94.825000000000003</v>
      </c>
      <c r="AT18" s="235"/>
      <c r="AU18" s="245">
        <v>97</v>
      </c>
      <c r="AV18" s="245" t="e">
        <f t="shared" si="4"/>
        <v>#DIV/0!</v>
      </c>
      <c r="AW18" s="245">
        <f t="shared" si="4"/>
        <v>95.912499999999994</v>
      </c>
      <c r="AX18" s="245" t="e">
        <f t="shared" si="5"/>
        <v>#DIV/0!</v>
      </c>
      <c r="AY18" s="59">
        <f t="shared" si="6"/>
        <v>97</v>
      </c>
    </row>
    <row r="19" spans="1:51" ht="18.75" customHeight="1">
      <c r="A19" s="147">
        <v>16</v>
      </c>
      <c r="B19" s="135" t="str">
        <f>VLOOKUP(A19,緊急聯絡!A$2:C$27,3,0)</f>
        <v>曾琛晞</v>
      </c>
      <c r="C19" s="245">
        <v>100</v>
      </c>
      <c r="D19" s="245">
        <v>97</v>
      </c>
      <c r="E19" s="245">
        <v>93</v>
      </c>
      <c r="F19" s="245">
        <v>98</v>
      </c>
      <c r="G19" s="245">
        <v>100</v>
      </c>
      <c r="H19" s="245">
        <v>100</v>
      </c>
      <c r="I19" s="245"/>
      <c r="J19" s="245"/>
      <c r="K19" s="245"/>
      <c r="L19" s="245">
        <f t="shared" si="0"/>
        <v>98</v>
      </c>
      <c r="M19" s="243">
        <v>67</v>
      </c>
      <c r="N19" s="245">
        <v>94</v>
      </c>
      <c r="O19" s="245">
        <v>91</v>
      </c>
      <c r="P19" s="245">
        <v>95</v>
      </c>
      <c r="Q19" s="245">
        <v>88</v>
      </c>
      <c r="R19" s="245">
        <v>89</v>
      </c>
      <c r="S19" s="245">
        <v>100</v>
      </c>
      <c r="T19" s="245">
        <v>100</v>
      </c>
      <c r="U19" s="245">
        <v>100</v>
      </c>
      <c r="V19" s="245">
        <v>76</v>
      </c>
      <c r="W19" s="245">
        <f t="shared" si="1"/>
        <v>90</v>
      </c>
      <c r="X19" s="245">
        <v>100</v>
      </c>
      <c r="Y19" s="245">
        <v>100</v>
      </c>
      <c r="Z19" s="245">
        <v>98</v>
      </c>
      <c r="AA19" s="245">
        <v>100</v>
      </c>
      <c r="AB19" s="245">
        <v>100</v>
      </c>
      <c r="AC19" s="245"/>
      <c r="AD19" s="245"/>
      <c r="AE19" s="245"/>
      <c r="AF19" s="245"/>
      <c r="AG19" s="245">
        <f t="shared" si="2"/>
        <v>99.6</v>
      </c>
      <c r="AH19" s="245">
        <v>88</v>
      </c>
      <c r="AI19" s="245">
        <v>97</v>
      </c>
      <c r="AJ19" s="245">
        <v>92</v>
      </c>
      <c r="AK19" s="245">
        <v>99</v>
      </c>
      <c r="AL19" s="245">
        <v>98</v>
      </c>
      <c r="AM19" s="245">
        <v>98</v>
      </c>
      <c r="AN19" s="245"/>
      <c r="AO19" s="245"/>
      <c r="AP19" s="245"/>
      <c r="AQ19" s="245"/>
      <c r="AR19" s="245"/>
      <c r="AS19" s="245">
        <f t="shared" si="3"/>
        <v>93.9</v>
      </c>
      <c r="AT19" s="235"/>
      <c r="AU19" s="245">
        <v>89</v>
      </c>
      <c r="AV19" s="245" t="e">
        <f t="shared" si="4"/>
        <v>#DIV/0!</v>
      </c>
      <c r="AW19" s="245">
        <f t="shared" si="4"/>
        <v>91.45</v>
      </c>
      <c r="AX19" s="245" t="e">
        <f t="shared" si="5"/>
        <v>#DIV/0!</v>
      </c>
      <c r="AY19" s="59">
        <f t="shared" si="6"/>
        <v>89</v>
      </c>
    </row>
    <row r="20" spans="1:51" ht="18.75" customHeight="1">
      <c r="A20" s="147">
        <v>17</v>
      </c>
      <c r="B20" s="135" t="str">
        <f>VLOOKUP(A20,緊急聯絡!A$2:C$27,3,0)</f>
        <v>張智函</v>
      </c>
      <c r="C20" s="245">
        <v>98</v>
      </c>
      <c r="D20" s="245">
        <v>99</v>
      </c>
      <c r="E20" s="245">
        <v>98</v>
      </c>
      <c r="F20" s="245">
        <v>97</v>
      </c>
      <c r="G20" s="245">
        <v>96</v>
      </c>
      <c r="H20" s="245">
        <v>93</v>
      </c>
      <c r="I20" s="245"/>
      <c r="J20" s="245"/>
      <c r="K20" s="245"/>
      <c r="L20" s="245">
        <f t="shared" si="0"/>
        <v>96.833333333333329</v>
      </c>
      <c r="M20" s="243">
        <v>66</v>
      </c>
      <c r="N20" s="245">
        <v>98</v>
      </c>
      <c r="O20" s="245">
        <v>90</v>
      </c>
      <c r="P20" s="245">
        <v>83</v>
      </c>
      <c r="Q20" s="245">
        <v>58</v>
      </c>
      <c r="R20" s="245">
        <v>93</v>
      </c>
      <c r="S20" s="245">
        <v>100</v>
      </c>
      <c r="T20" s="245">
        <v>97</v>
      </c>
      <c r="U20" s="245">
        <v>98</v>
      </c>
      <c r="V20" s="245">
        <v>61</v>
      </c>
      <c r="W20" s="245">
        <f t="shared" si="1"/>
        <v>84.4</v>
      </c>
      <c r="X20" s="245">
        <v>98</v>
      </c>
      <c r="Y20" s="245">
        <v>90</v>
      </c>
      <c r="Z20" s="245">
        <v>98</v>
      </c>
      <c r="AA20" s="245">
        <v>99</v>
      </c>
      <c r="AB20" s="245">
        <v>100</v>
      </c>
      <c r="AC20" s="245"/>
      <c r="AD20" s="245"/>
      <c r="AE20" s="245"/>
      <c r="AF20" s="245"/>
      <c r="AG20" s="245">
        <f t="shared" si="2"/>
        <v>97</v>
      </c>
      <c r="AH20" s="245">
        <v>100</v>
      </c>
      <c r="AI20" s="245">
        <v>90</v>
      </c>
      <c r="AJ20" s="245">
        <v>91</v>
      </c>
      <c r="AK20" s="245">
        <v>99</v>
      </c>
      <c r="AL20" s="245">
        <v>96</v>
      </c>
      <c r="AM20" s="245">
        <v>90</v>
      </c>
      <c r="AN20" s="245"/>
      <c r="AO20" s="245"/>
      <c r="AP20" s="245"/>
      <c r="AQ20" s="245"/>
      <c r="AR20" s="245"/>
      <c r="AS20" s="245">
        <f t="shared" si="3"/>
        <v>94.558333333333337</v>
      </c>
      <c r="AT20" s="235"/>
      <c r="AU20" s="245">
        <v>81</v>
      </c>
      <c r="AV20" s="245" t="e">
        <f t="shared" si="4"/>
        <v>#DIV/0!</v>
      </c>
      <c r="AW20" s="245">
        <f t="shared" si="4"/>
        <v>87.779166666666669</v>
      </c>
      <c r="AX20" s="245" t="e">
        <f t="shared" si="5"/>
        <v>#DIV/0!</v>
      </c>
      <c r="AY20" s="59">
        <f t="shared" si="6"/>
        <v>81</v>
      </c>
    </row>
    <row r="21" spans="1:51" ht="18.75" customHeight="1">
      <c r="A21" s="147">
        <v>18</v>
      </c>
      <c r="B21" s="135" t="str">
        <f>VLOOKUP(A21,緊急聯絡!A$2:C$27,3,0)</f>
        <v>許凌菲</v>
      </c>
      <c r="C21" s="245">
        <v>91</v>
      </c>
      <c r="D21" s="245">
        <v>97</v>
      </c>
      <c r="E21" s="245">
        <v>97</v>
      </c>
      <c r="F21" s="245">
        <v>90</v>
      </c>
      <c r="G21" s="245">
        <v>100</v>
      </c>
      <c r="H21" s="245">
        <v>98</v>
      </c>
      <c r="I21" s="245"/>
      <c r="J21" s="245"/>
      <c r="K21" s="245"/>
      <c r="L21" s="245">
        <f t="shared" si="0"/>
        <v>95.5</v>
      </c>
      <c r="M21" s="243">
        <v>57</v>
      </c>
      <c r="N21" s="245">
        <v>85</v>
      </c>
      <c r="O21" s="245">
        <v>78</v>
      </c>
      <c r="P21" s="245">
        <v>85</v>
      </c>
      <c r="Q21" s="245">
        <v>94</v>
      </c>
      <c r="R21" s="245">
        <v>85</v>
      </c>
      <c r="S21" s="245">
        <v>84</v>
      </c>
      <c r="T21" s="245">
        <v>98</v>
      </c>
      <c r="U21" s="245">
        <v>98</v>
      </c>
      <c r="V21" s="245">
        <v>63</v>
      </c>
      <c r="W21" s="245">
        <f t="shared" si="1"/>
        <v>82.7</v>
      </c>
      <c r="X21" s="245">
        <v>75</v>
      </c>
      <c r="Y21" s="245">
        <v>95</v>
      </c>
      <c r="Z21" s="245">
        <v>98</v>
      </c>
      <c r="AA21" s="245">
        <v>95</v>
      </c>
      <c r="AB21" s="245">
        <v>96</v>
      </c>
      <c r="AC21" s="245"/>
      <c r="AD21" s="245"/>
      <c r="AE21" s="245"/>
      <c r="AF21" s="245"/>
      <c r="AG21" s="245">
        <f t="shared" si="2"/>
        <v>91.8</v>
      </c>
      <c r="AH21" s="245">
        <v>74</v>
      </c>
      <c r="AI21" s="245">
        <v>86</v>
      </c>
      <c r="AJ21" s="245">
        <v>91</v>
      </c>
      <c r="AK21" s="245">
        <v>90</v>
      </c>
      <c r="AL21" s="245">
        <v>96</v>
      </c>
      <c r="AM21" s="245"/>
      <c r="AN21" s="245"/>
      <c r="AO21" s="245"/>
      <c r="AP21" s="245"/>
      <c r="AQ21" s="245"/>
      <c r="AR21" s="245"/>
      <c r="AS21" s="245">
        <f t="shared" si="3"/>
        <v>86</v>
      </c>
      <c r="AT21" s="235"/>
      <c r="AU21" s="245">
        <v>94</v>
      </c>
      <c r="AV21" s="245" t="e">
        <f t="shared" si="4"/>
        <v>#DIV/0!</v>
      </c>
      <c r="AW21" s="245">
        <f t="shared" si="4"/>
        <v>90</v>
      </c>
      <c r="AX21" s="245" t="e">
        <f t="shared" si="5"/>
        <v>#DIV/0!</v>
      </c>
      <c r="AY21" s="59">
        <f t="shared" si="6"/>
        <v>94</v>
      </c>
    </row>
    <row r="22" spans="1:51" ht="18.75" customHeight="1">
      <c r="A22" s="147">
        <v>19</v>
      </c>
      <c r="B22" s="135" t="str">
        <f>VLOOKUP(A22,緊急聯絡!A$2:C$27,3,0)</f>
        <v>吳羽棠</v>
      </c>
      <c r="C22" s="245">
        <v>98</v>
      </c>
      <c r="D22" s="245">
        <v>97</v>
      </c>
      <c r="E22" s="245">
        <v>94</v>
      </c>
      <c r="F22" s="245">
        <v>100</v>
      </c>
      <c r="G22" s="245">
        <v>100</v>
      </c>
      <c r="H22" s="245">
        <v>100</v>
      </c>
      <c r="I22" s="245"/>
      <c r="J22" s="245"/>
      <c r="K22" s="245"/>
      <c r="L22" s="245">
        <f t="shared" si="0"/>
        <v>98.166666666666671</v>
      </c>
      <c r="M22" s="243">
        <v>57</v>
      </c>
      <c r="N22" s="245">
        <v>69</v>
      </c>
      <c r="O22" s="245">
        <v>48</v>
      </c>
      <c r="P22" s="245">
        <v>53</v>
      </c>
      <c r="Q22" s="245">
        <v>87</v>
      </c>
      <c r="R22" s="245">
        <v>67</v>
      </c>
      <c r="S22" s="245">
        <v>60</v>
      </c>
      <c r="T22" s="245">
        <v>76</v>
      </c>
      <c r="U22" s="245">
        <v>79</v>
      </c>
      <c r="V22" s="245">
        <v>39</v>
      </c>
      <c r="W22" s="245">
        <f t="shared" si="1"/>
        <v>63.5</v>
      </c>
      <c r="X22" s="245">
        <v>96</v>
      </c>
      <c r="Y22" s="245">
        <v>90</v>
      </c>
      <c r="Z22" s="245">
        <v>97</v>
      </c>
      <c r="AA22" s="245">
        <v>99</v>
      </c>
      <c r="AB22" s="245">
        <v>100</v>
      </c>
      <c r="AC22" s="245"/>
      <c r="AD22" s="245"/>
      <c r="AE22" s="245"/>
      <c r="AF22" s="245"/>
      <c r="AG22" s="245">
        <f t="shared" si="2"/>
        <v>96.4</v>
      </c>
      <c r="AH22" s="245">
        <v>79</v>
      </c>
      <c r="AI22" s="245">
        <v>91</v>
      </c>
      <c r="AJ22" s="245">
        <v>71</v>
      </c>
      <c r="AK22" s="245">
        <v>82</v>
      </c>
      <c r="AL22" s="245">
        <v>98</v>
      </c>
      <c r="AM22" s="245">
        <v>52</v>
      </c>
      <c r="AN22" s="245"/>
      <c r="AO22" s="245"/>
      <c r="AP22" s="245"/>
      <c r="AQ22" s="245"/>
      <c r="AR22" s="245"/>
      <c r="AS22" s="245">
        <f t="shared" si="3"/>
        <v>84.26666666666668</v>
      </c>
      <c r="AT22" s="235"/>
      <c r="AU22" s="245">
        <v>68</v>
      </c>
      <c r="AV22" s="245" t="e">
        <f t="shared" si="4"/>
        <v>#DIV/0!</v>
      </c>
      <c r="AW22" s="245">
        <f t="shared" si="4"/>
        <v>76.13333333333334</v>
      </c>
      <c r="AX22" s="245" t="e">
        <f t="shared" si="5"/>
        <v>#DIV/0!</v>
      </c>
      <c r="AY22" s="59">
        <f t="shared" si="6"/>
        <v>68</v>
      </c>
    </row>
    <row r="23" spans="1:51" ht="18.75" customHeight="1">
      <c r="A23" s="147">
        <v>20</v>
      </c>
      <c r="B23" s="135" t="str">
        <f>VLOOKUP(A23,緊急聯絡!A$2:C$27,3,0)</f>
        <v>蔡羽媗</v>
      </c>
      <c r="C23" s="245">
        <v>88</v>
      </c>
      <c r="D23" s="245">
        <v>80</v>
      </c>
      <c r="E23" s="245">
        <v>69</v>
      </c>
      <c r="F23" s="245">
        <v>93</v>
      </c>
      <c r="G23" s="245">
        <v>92</v>
      </c>
      <c r="H23" s="245">
        <v>91</v>
      </c>
      <c r="I23" s="245"/>
      <c r="J23" s="245"/>
      <c r="K23" s="245"/>
      <c r="L23" s="245">
        <f t="shared" si="0"/>
        <v>85.5</v>
      </c>
      <c r="M23" s="243">
        <v>93</v>
      </c>
      <c r="N23" s="245">
        <v>86</v>
      </c>
      <c r="O23" s="245">
        <v>81</v>
      </c>
      <c r="P23" s="245">
        <v>94</v>
      </c>
      <c r="Q23" s="245">
        <v>73</v>
      </c>
      <c r="R23" s="245">
        <v>96</v>
      </c>
      <c r="S23" s="245">
        <v>73</v>
      </c>
      <c r="T23" s="245">
        <v>60</v>
      </c>
      <c r="U23" s="245">
        <v>92</v>
      </c>
      <c r="V23" s="245">
        <v>60</v>
      </c>
      <c r="W23" s="245">
        <f t="shared" si="1"/>
        <v>80.8</v>
      </c>
      <c r="X23" s="245">
        <v>77</v>
      </c>
      <c r="Y23" s="245">
        <v>84</v>
      </c>
      <c r="Z23" s="245">
        <v>74</v>
      </c>
      <c r="AA23" s="245">
        <v>91</v>
      </c>
      <c r="AB23" s="245">
        <v>92</v>
      </c>
      <c r="AC23" s="245"/>
      <c r="AD23" s="245"/>
      <c r="AE23" s="245"/>
      <c r="AF23" s="245"/>
      <c r="AG23" s="245">
        <f t="shared" si="2"/>
        <v>83.6</v>
      </c>
      <c r="AH23" s="245">
        <v>93</v>
      </c>
      <c r="AI23" s="245">
        <v>90</v>
      </c>
      <c r="AJ23" s="245">
        <v>89</v>
      </c>
      <c r="AK23" s="245">
        <v>95</v>
      </c>
      <c r="AL23" s="245">
        <v>96</v>
      </c>
      <c r="AM23" s="245">
        <v>94</v>
      </c>
      <c r="AN23" s="245"/>
      <c r="AO23" s="245"/>
      <c r="AP23" s="245"/>
      <c r="AQ23" s="245"/>
      <c r="AR23" s="245"/>
      <c r="AS23" s="245">
        <f t="shared" si="3"/>
        <v>85.724999999999994</v>
      </c>
      <c r="AT23" s="235"/>
      <c r="AU23" s="245">
        <v>95</v>
      </c>
      <c r="AV23" s="245" t="e">
        <f t="shared" si="4"/>
        <v>#DIV/0!</v>
      </c>
      <c r="AW23" s="245">
        <f t="shared" si="4"/>
        <v>90.362499999999997</v>
      </c>
      <c r="AX23" s="245" t="e">
        <f t="shared" si="5"/>
        <v>#DIV/0!</v>
      </c>
      <c r="AY23" s="59">
        <f t="shared" si="6"/>
        <v>95</v>
      </c>
    </row>
    <row r="24" spans="1:51" ht="18.75" customHeight="1">
      <c r="A24" s="147">
        <v>21</v>
      </c>
      <c r="B24" s="135" t="str">
        <f>VLOOKUP(A24,緊急聯絡!A$2:C$27,3,0)</f>
        <v>楊筱歆</v>
      </c>
      <c r="C24" s="245">
        <v>90</v>
      </c>
      <c r="D24" s="245">
        <v>98</v>
      </c>
      <c r="E24" s="245">
        <v>91</v>
      </c>
      <c r="F24" s="245">
        <v>92</v>
      </c>
      <c r="G24" s="245">
        <v>98</v>
      </c>
      <c r="H24" s="245">
        <v>95</v>
      </c>
      <c r="I24" s="245"/>
      <c r="J24" s="245"/>
      <c r="K24" s="245"/>
      <c r="L24" s="245">
        <f t="shared" si="0"/>
        <v>94</v>
      </c>
      <c r="M24" s="243">
        <v>81</v>
      </c>
      <c r="N24" s="245">
        <v>94</v>
      </c>
      <c r="O24" s="245">
        <v>95</v>
      </c>
      <c r="P24" s="245">
        <v>93</v>
      </c>
      <c r="Q24" s="245">
        <v>94</v>
      </c>
      <c r="R24" s="245">
        <v>99</v>
      </c>
      <c r="S24" s="245">
        <v>78</v>
      </c>
      <c r="T24" s="245">
        <v>88</v>
      </c>
      <c r="U24" s="245">
        <v>87</v>
      </c>
      <c r="V24" s="245">
        <v>78</v>
      </c>
      <c r="W24" s="245">
        <f t="shared" si="1"/>
        <v>88.7</v>
      </c>
      <c r="X24" s="245">
        <v>94</v>
      </c>
      <c r="Y24" s="245">
        <v>91</v>
      </c>
      <c r="Z24" s="245">
        <v>98</v>
      </c>
      <c r="AA24" s="245">
        <v>98</v>
      </c>
      <c r="AB24" s="245">
        <v>80</v>
      </c>
      <c r="AC24" s="245"/>
      <c r="AD24" s="245"/>
      <c r="AE24" s="245"/>
      <c r="AF24" s="245"/>
      <c r="AG24" s="245">
        <f t="shared" si="2"/>
        <v>92.2</v>
      </c>
      <c r="AH24" s="245">
        <v>98</v>
      </c>
      <c r="AI24" s="245">
        <v>92</v>
      </c>
      <c r="AJ24" s="245">
        <v>96</v>
      </c>
      <c r="AK24" s="245">
        <v>96</v>
      </c>
      <c r="AL24" s="245">
        <v>92</v>
      </c>
      <c r="AM24" s="245">
        <v>96</v>
      </c>
      <c r="AN24" s="245"/>
      <c r="AO24" s="245"/>
      <c r="AP24" s="245"/>
      <c r="AQ24" s="245"/>
      <c r="AR24" s="245"/>
      <c r="AS24" s="245">
        <f t="shared" si="3"/>
        <v>93.224999999999994</v>
      </c>
      <c r="AT24" s="235"/>
      <c r="AU24" s="245">
        <v>96</v>
      </c>
      <c r="AV24" s="245" t="e">
        <f t="shared" si="4"/>
        <v>#DIV/0!</v>
      </c>
      <c r="AW24" s="245">
        <f t="shared" si="4"/>
        <v>94.612499999999997</v>
      </c>
      <c r="AX24" s="245" t="e">
        <f t="shared" si="5"/>
        <v>#DIV/0!</v>
      </c>
      <c r="AY24" s="59">
        <f t="shared" si="6"/>
        <v>96</v>
      </c>
    </row>
    <row r="25" spans="1:51" ht="18.75" customHeight="1">
      <c r="A25" s="147">
        <v>22</v>
      </c>
      <c r="B25" s="135" t="str">
        <f>VLOOKUP(A25,緊急聯絡!A$2:C$27,3,0)</f>
        <v>邱詩涵</v>
      </c>
      <c r="C25" s="245">
        <v>77</v>
      </c>
      <c r="D25" s="245">
        <v>80</v>
      </c>
      <c r="E25" s="245">
        <v>76</v>
      </c>
      <c r="F25" s="245">
        <v>90</v>
      </c>
      <c r="G25" s="245">
        <v>98</v>
      </c>
      <c r="H25" s="245">
        <v>93</v>
      </c>
      <c r="I25" s="245"/>
      <c r="J25" s="245"/>
      <c r="K25" s="245"/>
      <c r="L25" s="245">
        <f t="shared" si="0"/>
        <v>85.666666666666671</v>
      </c>
      <c r="M25" s="243">
        <v>86</v>
      </c>
      <c r="N25" s="245">
        <v>72</v>
      </c>
      <c r="O25" s="245">
        <v>81</v>
      </c>
      <c r="P25" s="245">
        <v>98</v>
      </c>
      <c r="Q25" s="245">
        <v>100</v>
      </c>
      <c r="R25" s="245">
        <v>92</v>
      </c>
      <c r="S25" s="245">
        <v>82</v>
      </c>
      <c r="T25" s="245">
        <v>76</v>
      </c>
      <c r="U25" s="245">
        <v>94</v>
      </c>
      <c r="V25" s="245">
        <v>92</v>
      </c>
      <c r="W25" s="245">
        <f t="shared" si="1"/>
        <v>87.3</v>
      </c>
      <c r="X25" s="245">
        <v>95</v>
      </c>
      <c r="Y25" s="245">
        <v>93</v>
      </c>
      <c r="Z25" s="245">
        <v>92</v>
      </c>
      <c r="AA25" s="245">
        <v>98</v>
      </c>
      <c r="AB25" s="245">
        <v>98</v>
      </c>
      <c r="AC25" s="245"/>
      <c r="AD25" s="245"/>
      <c r="AE25" s="245"/>
      <c r="AF25" s="245"/>
      <c r="AG25" s="245">
        <f t="shared" si="2"/>
        <v>95.2</v>
      </c>
      <c r="AH25" s="245">
        <v>96</v>
      </c>
      <c r="AI25" s="245">
        <v>92</v>
      </c>
      <c r="AJ25" s="245">
        <v>99</v>
      </c>
      <c r="AK25" s="245">
        <v>98</v>
      </c>
      <c r="AL25" s="245">
        <v>97</v>
      </c>
      <c r="AM25" s="245">
        <v>100</v>
      </c>
      <c r="AN25" s="245"/>
      <c r="AO25" s="245"/>
      <c r="AP25" s="245"/>
      <c r="AQ25" s="245"/>
      <c r="AR25" s="245"/>
      <c r="AS25" s="245">
        <f t="shared" si="3"/>
        <v>91.041666666666671</v>
      </c>
      <c r="AT25" s="235"/>
      <c r="AU25" s="245">
        <v>94</v>
      </c>
      <c r="AV25" s="245" t="e">
        <f t="shared" si="4"/>
        <v>#DIV/0!</v>
      </c>
      <c r="AW25" s="245">
        <f t="shared" si="4"/>
        <v>92.520833333333343</v>
      </c>
      <c r="AX25" s="245" t="e">
        <f t="shared" si="5"/>
        <v>#DIV/0!</v>
      </c>
      <c r="AY25" s="59">
        <f t="shared" si="6"/>
        <v>94</v>
      </c>
    </row>
    <row r="26" spans="1:51" ht="18.75" customHeight="1">
      <c r="A26" s="147">
        <v>23</v>
      </c>
      <c r="B26" s="135" t="str">
        <f>VLOOKUP(A26,緊急聯絡!A$2:C$27,3,0)</f>
        <v>張涵甯</v>
      </c>
      <c r="C26" s="245">
        <v>89</v>
      </c>
      <c r="D26" s="245">
        <v>92</v>
      </c>
      <c r="E26" s="245">
        <v>91</v>
      </c>
      <c r="F26" s="245">
        <v>88</v>
      </c>
      <c r="G26" s="245">
        <v>98</v>
      </c>
      <c r="H26" s="245">
        <v>92</v>
      </c>
      <c r="I26" s="245"/>
      <c r="J26" s="245"/>
      <c r="K26" s="245"/>
      <c r="L26" s="245">
        <f t="shared" si="0"/>
        <v>91.666666666666671</v>
      </c>
      <c r="M26" s="243">
        <v>73</v>
      </c>
      <c r="N26" s="245">
        <v>86</v>
      </c>
      <c r="O26" s="245">
        <v>93</v>
      </c>
      <c r="P26" s="245">
        <v>85</v>
      </c>
      <c r="Q26" s="245">
        <v>82</v>
      </c>
      <c r="R26" s="245">
        <v>77</v>
      </c>
      <c r="S26" s="245">
        <v>80</v>
      </c>
      <c r="T26" s="245">
        <v>90</v>
      </c>
      <c r="U26" s="245">
        <v>85</v>
      </c>
      <c r="V26" s="245">
        <v>69</v>
      </c>
      <c r="W26" s="245">
        <f t="shared" si="1"/>
        <v>82</v>
      </c>
      <c r="X26" s="245">
        <v>84</v>
      </c>
      <c r="Y26" s="245">
        <v>94</v>
      </c>
      <c r="Z26" s="245">
        <v>89</v>
      </c>
      <c r="AA26" s="245">
        <v>92</v>
      </c>
      <c r="AB26" s="245">
        <v>80</v>
      </c>
      <c r="AC26" s="245"/>
      <c r="AD26" s="245"/>
      <c r="AE26" s="245"/>
      <c r="AF26" s="245"/>
      <c r="AG26" s="245">
        <f t="shared" si="2"/>
        <v>87.8</v>
      </c>
      <c r="AH26" s="245">
        <v>86</v>
      </c>
      <c r="AI26" s="245">
        <v>92</v>
      </c>
      <c r="AJ26" s="245">
        <v>100</v>
      </c>
      <c r="AK26" s="245">
        <v>94</v>
      </c>
      <c r="AL26" s="245">
        <v>100</v>
      </c>
      <c r="AM26" s="245">
        <v>82</v>
      </c>
      <c r="AN26" s="245"/>
      <c r="AO26" s="245"/>
      <c r="AP26" s="245"/>
      <c r="AQ26" s="245"/>
      <c r="AR26" s="245"/>
      <c r="AS26" s="245">
        <f t="shared" si="3"/>
        <v>86.866666666666674</v>
      </c>
      <c r="AT26" s="235"/>
      <c r="AU26" s="245">
        <v>97</v>
      </c>
      <c r="AV26" s="245" t="e">
        <f t="shared" si="4"/>
        <v>#DIV/0!</v>
      </c>
      <c r="AW26" s="245">
        <f t="shared" si="4"/>
        <v>91.933333333333337</v>
      </c>
      <c r="AX26" s="245" t="e">
        <f t="shared" si="5"/>
        <v>#DIV/0!</v>
      </c>
      <c r="AY26" s="59">
        <f t="shared" si="6"/>
        <v>97</v>
      </c>
    </row>
    <row r="27" spans="1:51" ht="18.75" customHeight="1">
      <c r="A27" s="147">
        <v>24</v>
      </c>
      <c r="B27" s="135" t="str">
        <f>VLOOKUP(A27,緊急聯絡!A$2:C$27,3,0)</f>
        <v>王姿涵</v>
      </c>
      <c r="C27" s="245">
        <v>94</v>
      </c>
      <c r="D27" s="245">
        <v>88</v>
      </c>
      <c r="E27" s="245">
        <v>91</v>
      </c>
      <c r="F27" s="245">
        <v>91</v>
      </c>
      <c r="G27" s="245">
        <v>100</v>
      </c>
      <c r="H27" s="245">
        <v>96</v>
      </c>
      <c r="I27" s="245"/>
      <c r="J27" s="245"/>
      <c r="K27" s="245"/>
      <c r="L27" s="245">
        <f t="shared" si="0"/>
        <v>93.333333333333329</v>
      </c>
      <c r="M27" s="243">
        <v>72</v>
      </c>
      <c r="N27" s="245">
        <v>94</v>
      </c>
      <c r="O27" s="245">
        <v>83</v>
      </c>
      <c r="P27" s="245">
        <v>92</v>
      </c>
      <c r="Q27" s="245">
        <v>90</v>
      </c>
      <c r="R27" s="245">
        <v>84</v>
      </c>
      <c r="S27" s="245">
        <v>92</v>
      </c>
      <c r="T27" s="245">
        <v>90</v>
      </c>
      <c r="U27" s="245">
        <v>90</v>
      </c>
      <c r="V27" s="245">
        <v>100</v>
      </c>
      <c r="W27" s="245">
        <f t="shared" si="1"/>
        <v>88.7</v>
      </c>
      <c r="X27" s="245">
        <v>100</v>
      </c>
      <c r="Y27" s="245">
        <v>92</v>
      </c>
      <c r="Z27" s="245">
        <v>93</v>
      </c>
      <c r="AA27" s="245">
        <v>100</v>
      </c>
      <c r="AB27" s="245">
        <v>94</v>
      </c>
      <c r="AC27" s="245"/>
      <c r="AD27" s="245"/>
      <c r="AE27" s="245"/>
      <c r="AF27" s="245"/>
      <c r="AG27" s="245">
        <f t="shared" si="2"/>
        <v>95.8</v>
      </c>
      <c r="AH27" s="245">
        <v>90</v>
      </c>
      <c r="AI27" s="245">
        <v>86</v>
      </c>
      <c r="AJ27" s="245">
        <v>95</v>
      </c>
      <c r="AK27" s="245">
        <v>98</v>
      </c>
      <c r="AL27" s="245">
        <v>98</v>
      </c>
      <c r="AM27" s="245"/>
      <c r="AN27" s="245"/>
      <c r="AO27" s="245"/>
      <c r="AP27" s="245"/>
      <c r="AQ27" s="245"/>
      <c r="AR27" s="245"/>
      <c r="AS27" s="245">
        <f t="shared" si="3"/>
        <v>91.958333333333329</v>
      </c>
      <c r="AT27" s="235"/>
      <c r="AU27" s="245">
        <v>83</v>
      </c>
      <c r="AV27" s="245" t="e">
        <f t="shared" ref="AV27:AW30" si="7">AVERAGE(AR27,AT27)</f>
        <v>#DIV/0!</v>
      </c>
      <c r="AW27" s="245">
        <f t="shared" si="7"/>
        <v>87.479166666666657</v>
      </c>
      <c r="AX27" s="245" t="e">
        <f t="shared" si="5"/>
        <v>#DIV/0!</v>
      </c>
      <c r="AY27" s="59">
        <f>AU28-AT27</f>
        <v>57</v>
      </c>
    </row>
    <row r="28" spans="1:51" ht="18.75" customHeight="1">
      <c r="A28" s="147">
        <v>25</v>
      </c>
      <c r="B28" s="135" t="str">
        <f>VLOOKUP(A28,緊急聯絡!A$2:C$27,3,0)</f>
        <v>林昱萱</v>
      </c>
      <c r="C28" s="245">
        <v>75</v>
      </c>
      <c r="D28" s="245">
        <v>85</v>
      </c>
      <c r="E28" s="245">
        <v>82</v>
      </c>
      <c r="F28" s="245">
        <v>82</v>
      </c>
      <c r="G28" s="245">
        <v>100</v>
      </c>
      <c r="H28" s="245">
        <v>87</v>
      </c>
      <c r="I28" s="245"/>
      <c r="J28" s="245"/>
      <c r="K28" s="245"/>
      <c r="L28" s="245">
        <f t="shared" si="0"/>
        <v>85.166666666666671</v>
      </c>
      <c r="M28" s="243">
        <v>22</v>
      </c>
      <c r="N28" s="245">
        <v>52</v>
      </c>
      <c r="O28" s="245">
        <v>45</v>
      </c>
      <c r="P28" s="245">
        <v>47</v>
      </c>
      <c r="Q28" s="245">
        <v>61</v>
      </c>
      <c r="R28" s="245">
        <v>56</v>
      </c>
      <c r="S28" s="245">
        <v>77</v>
      </c>
      <c r="T28" s="245">
        <v>86</v>
      </c>
      <c r="U28" s="245">
        <v>87</v>
      </c>
      <c r="V28" s="245">
        <v>24</v>
      </c>
      <c r="W28" s="245">
        <f t="shared" si="1"/>
        <v>55.7</v>
      </c>
      <c r="X28" s="245">
        <v>91</v>
      </c>
      <c r="Y28" s="245">
        <v>83</v>
      </c>
      <c r="Z28" s="245">
        <v>87</v>
      </c>
      <c r="AA28" s="245">
        <v>97</v>
      </c>
      <c r="AB28" s="245">
        <v>92</v>
      </c>
      <c r="AC28" s="245"/>
      <c r="AD28" s="245"/>
      <c r="AE28" s="245"/>
      <c r="AF28" s="245"/>
      <c r="AG28" s="245">
        <f t="shared" si="2"/>
        <v>90</v>
      </c>
      <c r="AH28" s="245">
        <v>85</v>
      </c>
      <c r="AI28" s="245">
        <v>63</v>
      </c>
      <c r="AJ28" s="245">
        <v>75</v>
      </c>
      <c r="AK28" s="245">
        <v>76</v>
      </c>
      <c r="AL28" s="245">
        <v>98</v>
      </c>
      <c r="AM28" s="245">
        <v>91</v>
      </c>
      <c r="AN28" s="245"/>
      <c r="AO28" s="245"/>
      <c r="AP28" s="245"/>
      <c r="AQ28" s="245"/>
      <c r="AR28" s="245"/>
      <c r="AS28" s="245">
        <f t="shared" si="3"/>
        <v>78.966666666666669</v>
      </c>
      <c r="AT28" s="235"/>
      <c r="AU28" s="245">
        <v>57</v>
      </c>
      <c r="AV28" s="245" t="e">
        <f t="shared" si="7"/>
        <v>#DIV/0!</v>
      </c>
      <c r="AW28" s="245">
        <f t="shared" si="7"/>
        <v>67.983333333333334</v>
      </c>
      <c r="AX28" s="245" t="e">
        <f t="shared" si="5"/>
        <v>#DIV/0!</v>
      </c>
      <c r="AY28" s="59">
        <f t="shared" si="6"/>
        <v>57</v>
      </c>
    </row>
    <row r="29" spans="1:51" ht="18.75" customHeight="1">
      <c r="A29" s="147">
        <v>26</v>
      </c>
      <c r="B29" s="135" t="str">
        <f>VLOOKUP(A29,緊急聯絡!A$2:C$27,3,0)</f>
        <v>李文</v>
      </c>
      <c r="C29" s="245">
        <v>98</v>
      </c>
      <c r="D29" s="245">
        <v>100</v>
      </c>
      <c r="E29" s="245">
        <v>98</v>
      </c>
      <c r="F29" s="245">
        <v>100</v>
      </c>
      <c r="G29" s="245">
        <v>100</v>
      </c>
      <c r="H29" s="245">
        <v>100</v>
      </c>
      <c r="I29" s="245"/>
      <c r="J29" s="245"/>
      <c r="K29" s="245"/>
      <c r="L29" s="245">
        <f t="shared" si="0"/>
        <v>99.333333333333329</v>
      </c>
      <c r="M29" s="243">
        <v>67</v>
      </c>
      <c r="N29" s="245">
        <v>85</v>
      </c>
      <c r="O29" s="245">
        <v>88</v>
      </c>
      <c r="P29" s="245">
        <v>97</v>
      </c>
      <c r="Q29" s="245">
        <v>94</v>
      </c>
      <c r="R29" s="245">
        <v>84</v>
      </c>
      <c r="S29" s="245">
        <v>100</v>
      </c>
      <c r="T29" s="245">
        <v>100</v>
      </c>
      <c r="U29" s="245">
        <v>98</v>
      </c>
      <c r="V29" s="245">
        <v>81</v>
      </c>
      <c r="W29" s="245">
        <f t="shared" si="1"/>
        <v>89.4</v>
      </c>
      <c r="X29" s="245">
        <v>98</v>
      </c>
      <c r="Y29" s="245">
        <v>99</v>
      </c>
      <c r="Z29" s="245">
        <v>100</v>
      </c>
      <c r="AA29" s="245">
        <v>100</v>
      </c>
      <c r="AB29" s="245">
        <v>100</v>
      </c>
      <c r="AC29" s="245"/>
      <c r="AD29" s="245"/>
      <c r="AE29" s="245"/>
      <c r="AF29" s="245"/>
      <c r="AG29" s="245">
        <f t="shared" si="2"/>
        <v>99.4</v>
      </c>
      <c r="AH29" s="245">
        <v>95</v>
      </c>
      <c r="AI29" s="245">
        <v>91</v>
      </c>
      <c r="AJ29" s="245">
        <v>98</v>
      </c>
      <c r="AK29" s="245">
        <v>99</v>
      </c>
      <c r="AL29" s="245">
        <v>100</v>
      </c>
      <c r="AM29" s="245">
        <v>95</v>
      </c>
      <c r="AN29" s="245"/>
      <c r="AO29" s="245"/>
      <c r="AP29" s="245"/>
      <c r="AQ29" s="245"/>
      <c r="AR29" s="245"/>
      <c r="AS29" s="245">
        <f t="shared" si="3"/>
        <v>95.783333333333331</v>
      </c>
      <c r="AT29" s="235"/>
      <c r="AU29" s="245">
        <v>95</v>
      </c>
      <c r="AV29" s="245" t="e">
        <f t="shared" si="7"/>
        <v>#DIV/0!</v>
      </c>
      <c r="AW29" s="245">
        <f t="shared" si="7"/>
        <v>95.391666666666666</v>
      </c>
      <c r="AX29" s="245" t="e">
        <f t="shared" si="5"/>
        <v>#DIV/0!</v>
      </c>
      <c r="AY29" s="59">
        <f t="shared" si="6"/>
        <v>95</v>
      </c>
    </row>
    <row r="30" spans="1:51" ht="18.75" customHeight="1">
      <c r="A30" s="147">
        <v>29</v>
      </c>
      <c r="B30" s="135" t="s">
        <v>81</v>
      </c>
      <c r="C30" s="245">
        <v>90</v>
      </c>
      <c r="D30" s="245">
        <v>100</v>
      </c>
      <c r="E30" s="245">
        <v>96</v>
      </c>
      <c r="F30" s="245">
        <v>99</v>
      </c>
      <c r="G30" s="245">
        <v>100</v>
      </c>
      <c r="H30" s="245">
        <v>100</v>
      </c>
      <c r="I30" s="245"/>
      <c r="J30" s="245"/>
      <c r="K30" s="245"/>
      <c r="L30" s="245">
        <f t="shared" si="0"/>
        <v>97.5</v>
      </c>
      <c r="M30" s="243">
        <v>65</v>
      </c>
      <c r="N30" s="245">
        <v>72</v>
      </c>
      <c r="O30" s="245">
        <v>67</v>
      </c>
      <c r="P30" s="245">
        <v>92</v>
      </c>
      <c r="Q30" s="245">
        <v>94</v>
      </c>
      <c r="R30" s="245">
        <v>87</v>
      </c>
      <c r="S30" s="245">
        <v>100</v>
      </c>
      <c r="T30" s="245">
        <v>100</v>
      </c>
      <c r="U30" s="245">
        <v>90</v>
      </c>
      <c r="V30" s="245">
        <v>69</v>
      </c>
      <c r="W30" s="245">
        <f t="shared" si="1"/>
        <v>83.6</v>
      </c>
      <c r="X30" s="245">
        <v>100</v>
      </c>
      <c r="Y30" s="245">
        <v>96</v>
      </c>
      <c r="Z30" s="245">
        <v>100</v>
      </c>
      <c r="AA30" s="245">
        <v>100</v>
      </c>
      <c r="AB30" s="245">
        <v>100</v>
      </c>
      <c r="AC30" s="245"/>
      <c r="AD30" s="245"/>
      <c r="AE30" s="245"/>
      <c r="AF30" s="245"/>
      <c r="AG30" s="245">
        <f t="shared" si="2"/>
        <v>99.2</v>
      </c>
      <c r="AH30" s="245">
        <v>88</v>
      </c>
      <c r="AI30" s="245">
        <v>90</v>
      </c>
      <c r="AJ30" s="245">
        <v>87</v>
      </c>
      <c r="AK30" s="245">
        <v>100</v>
      </c>
      <c r="AL30" s="245">
        <v>98</v>
      </c>
      <c r="AM30" s="245">
        <v>84</v>
      </c>
      <c r="AN30" s="245"/>
      <c r="AO30" s="245"/>
      <c r="AP30" s="245"/>
      <c r="AQ30" s="245"/>
      <c r="AR30" s="245"/>
      <c r="AS30" s="245">
        <f t="shared" si="3"/>
        <v>92.075000000000003</v>
      </c>
      <c r="AT30" s="235"/>
      <c r="AU30" s="245">
        <v>89</v>
      </c>
      <c r="AV30" s="245" t="e">
        <f t="shared" si="7"/>
        <v>#DIV/0!</v>
      </c>
      <c r="AW30" s="245">
        <f t="shared" si="7"/>
        <v>90.537499999999994</v>
      </c>
      <c r="AX30" s="245" t="e">
        <f t="shared" si="5"/>
        <v>#DIV/0!</v>
      </c>
      <c r="AY30" s="59">
        <f t="shared" si="6"/>
        <v>89</v>
      </c>
    </row>
    <row r="31" spans="1:51" ht="18.75" customHeight="1">
      <c r="A31" s="147">
        <v>30</v>
      </c>
      <c r="B31" s="135" t="s">
        <v>530</v>
      </c>
      <c r="C31" s="245">
        <v>98</v>
      </c>
      <c r="D31" s="245">
        <v>87</v>
      </c>
      <c r="E31" s="245">
        <v>95</v>
      </c>
      <c r="F31" s="245">
        <v>96</v>
      </c>
      <c r="G31" s="245">
        <v>98</v>
      </c>
      <c r="H31" s="245">
        <v>100</v>
      </c>
      <c r="I31" s="245"/>
      <c r="J31" s="245"/>
      <c r="K31" s="245"/>
      <c r="L31" s="245">
        <f>AVERAGE(C31:K31)</f>
        <v>95.666666666666671</v>
      </c>
      <c r="M31" s="243">
        <v>78</v>
      </c>
      <c r="N31" s="245">
        <v>96</v>
      </c>
      <c r="O31" s="245">
        <v>79</v>
      </c>
      <c r="P31" s="245">
        <v>91</v>
      </c>
      <c r="Q31" s="245">
        <v>100</v>
      </c>
      <c r="R31" s="245">
        <v>95</v>
      </c>
      <c r="S31" s="245">
        <v>95</v>
      </c>
      <c r="T31" s="245">
        <v>93</v>
      </c>
      <c r="U31" s="245">
        <v>96</v>
      </c>
      <c r="V31" s="245">
        <v>92</v>
      </c>
      <c r="W31" s="245">
        <f>AVERAGE(M31:V31)</f>
        <v>91.5</v>
      </c>
      <c r="X31" s="245">
        <v>98</v>
      </c>
      <c r="Y31" s="245">
        <v>97</v>
      </c>
      <c r="Z31" s="245">
        <v>100</v>
      </c>
      <c r="AA31" s="245">
        <v>100</v>
      </c>
      <c r="AB31" s="245">
        <v>98</v>
      </c>
      <c r="AC31" s="245"/>
      <c r="AD31" s="245"/>
      <c r="AE31" s="245"/>
      <c r="AF31" s="245"/>
      <c r="AG31" s="245">
        <f>AVERAGE(X31:AF31)</f>
        <v>98.6</v>
      </c>
      <c r="AH31" s="245">
        <v>90</v>
      </c>
      <c r="AI31" s="245">
        <v>97</v>
      </c>
      <c r="AJ31" s="245">
        <v>95</v>
      </c>
      <c r="AK31" s="245">
        <v>95</v>
      </c>
      <c r="AL31" s="245">
        <v>96</v>
      </c>
      <c r="AM31" s="245">
        <v>95</v>
      </c>
      <c r="AN31" s="245"/>
      <c r="AO31" s="245"/>
      <c r="AP31" s="245"/>
      <c r="AQ31" s="245"/>
      <c r="AR31" s="245"/>
      <c r="AS31" s="245">
        <f>AVERAGE(L31,W31,AG31,AH31)</f>
        <v>93.941666666666663</v>
      </c>
      <c r="AT31" s="235"/>
      <c r="AU31" s="245">
        <v>89</v>
      </c>
      <c r="AV31" s="245" t="e">
        <f>AVERAGE(AR31,AT31)</f>
        <v>#DIV/0!</v>
      </c>
      <c r="AW31" s="245">
        <f>AVERAGE(AS31,AU31)</f>
        <v>91.470833333333331</v>
      </c>
      <c r="AX31" s="245" t="e">
        <f>AVERAGE(AV31:AW31)</f>
        <v>#DIV/0!</v>
      </c>
      <c r="AY31" s="59">
        <f t="shared" si="6"/>
        <v>89</v>
      </c>
    </row>
    <row r="32" spans="1:51" ht="18.75" customHeight="1">
      <c r="A32" s="60"/>
      <c r="B32" s="61" t="s">
        <v>214</v>
      </c>
      <c r="C32" s="60">
        <f>AVERAGE(C4:C31)</f>
        <v>93.428571428571431</v>
      </c>
      <c r="D32" s="60">
        <f t="shared" ref="D32:AW32" si="8">AVERAGE(D4:D30)</f>
        <v>94.18518518518519</v>
      </c>
      <c r="E32" s="60">
        <f t="shared" si="8"/>
        <v>92.81481481481481</v>
      </c>
      <c r="F32" s="60">
        <f t="shared" si="8"/>
        <v>95.666666666666671</v>
      </c>
      <c r="G32" s="60">
        <f t="shared" si="8"/>
        <v>98.518518518518519</v>
      </c>
      <c r="H32" s="60">
        <f t="shared" si="8"/>
        <v>97.333333333333329</v>
      </c>
      <c r="I32" s="60" t="e">
        <f t="shared" si="8"/>
        <v>#DIV/0!</v>
      </c>
      <c r="J32" s="60" t="e">
        <f t="shared" si="8"/>
        <v>#DIV/0!</v>
      </c>
      <c r="K32" s="60" t="e">
        <f t="shared" si="8"/>
        <v>#DIV/0!</v>
      </c>
      <c r="L32" s="60">
        <f t="shared" si="8"/>
        <v>95.296296296296291</v>
      </c>
      <c r="M32" s="60">
        <f t="shared" si="8"/>
        <v>73.18518518518519</v>
      </c>
      <c r="N32" s="60">
        <f t="shared" si="8"/>
        <v>82.481481481481481</v>
      </c>
      <c r="O32" s="60">
        <f t="shared" si="8"/>
        <v>79.222222222222229</v>
      </c>
      <c r="P32" s="60">
        <f t="shared" si="8"/>
        <v>87.592592592592595</v>
      </c>
      <c r="Q32" s="60">
        <f t="shared" si="8"/>
        <v>86.037037037037038</v>
      </c>
      <c r="R32" s="60">
        <f t="shared" si="8"/>
        <v>85.592592592592595</v>
      </c>
      <c r="S32" s="60">
        <f t="shared" si="8"/>
        <v>88.888888888888886</v>
      </c>
      <c r="T32" s="60">
        <f t="shared" si="8"/>
        <v>91.407407407407405</v>
      </c>
      <c r="U32" s="60">
        <f t="shared" si="8"/>
        <v>92</v>
      </c>
      <c r="V32" s="60">
        <f t="shared" si="8"/>
        <v>73.666666666666671</v>
      </c>
      <c r="W32" s="60">
        <f t="shared" si="8"/>
        <v>84.007407407407413</v>
      </c>
      <c r="X32" s="60">
        <f t="shared" si="8"/>
        <v>91.444444444444443</v>
      </c>
      <c r="Y32" s="60">
        <f t="shared" si="8"/>
        <v>94.555555555555557</v>
      </c>
      <c r="Z32" s="60">
        <f t="shared" si="8"/>
        <v>96.18518518518519</v>
      </c>
      <c r="AA32" s="60">
        <f t="shared" si="8"/>
        <v>97.407407407407405</v>
      </c>
      <c r="AB32" s="60">
        <f t="shared" si="8"/>
        <v>96.555555555555557</v>
      </c>
      <c r="AC32" s="60" t="e">
        <f t="shared" si="8"/>
        <v>#DIV/0!</v>
      </c>
      <c r="AD32" s="60" t="e">
        <f t="shared" si="8"/>
        <v>#DIV/0!</v>
      </c>
      <c r="AE32" s="60" t="e">
        <f t="shared" si="8"/>
        <v>#DIV/0!</v>
      </c>
      <c r="AF32" s="60" t="e">
        <f t="shared" si="8"/>
        <v>#DIV/0!</v>
      </c>
      <c r="AG32" s="60">
        <f t="shared" si="8"/>
        <v>95.229629629629642</v>
      </c>
      <c r="AH32" s="60">
        <f t="shared" si="8"/>
        <v>89.296296296296291</v>
      </c>
      <c r="AI32" s="60">
        <f t="shared" si="8"/>
        <v>89.555555555555557</v>
      </c>
      <c r="AJ32" s="60">
        <f t="shared" si="8"/>
        <v>90.703703703703709</v>
      </c>
      <c r="AK32" s="60">
        <f t="shared" si="8"/>
        <v>94.259259259259252</v>
      </c>
      <c r="AL32" s="60">
        <f t="shared" si="8"/>
        <v>96.703703703703709</v>
      </c>
      <c r="AM32" s="60">
        <f t="shared" si="8"/>
        <v>92.347826086956516</v>
      </c>
      <c r="AN32" s="60">
        <f t="shared" si="8"/>
        <v>100</v>
      </c>
      <c r="AO32" s="60" t="e">
        <f t="shared" si="8"/>
        <v>#DIV/0!</v>
      </c>
      <c r="AP32" s="60" t="e">
        <f t="shared" si="8"/>
        <v>#DIV/0!</v>
      </c>
      <c r="AQ32" s="60" t="e">
        <f t="shared" si="8"/>
        <v>#DIV/0!</v>
      </c>
      <c r="AR32" s="60" t="e">
        <f t="shared" si="8"/>
        <v>#DIV/0!</v>
      </c>
      <c r="AS32" s="60">
        <f t="shared" si="8"/>
        <v>90.957407407407402</v>
      </c>
      <c r="AT32" s="60" t="e">
        <f t="shared" si="8"/>
        <v>#DIV/0!</v>
      </c>
      <c r="AU32" s="60">
        <f>AVERAGE(AU4:AU31)</f>
        <v>88</v>
      </c>
      <c r="AV32" s="60" t="e">
        <f t="shared" si="8"/>
        <v>#DIV/0!</v>
      </c>
      <c r="AW32" s="60">
        <f t="shared" si="8"/>
        <v>89.460185185185182</v>
      </c>
      <c r="AX32" s="60" t="e">
        <f>AVERAGE(AX4:AX26)</f>
        <v>#DIV/0!</v>
      </c>
    </row>
    <row r="33" spans="2:50">
      <c r="B33" s="59">
        <v>100</v>
      </c>
      <c r="C33" s="59">
        <f t="shared" ref="C33:AX33" si="9">COUNTIF(C$4:C$31,"=100")</f>
        <v>6</v>
      </c>
      <c r="D33" s="59">
        <f t="shared" si="9"/>
        <v>5</v>
      </c>
      <c r="E33" s="59">
        <f t="shared" si="9"/>
        <v>2</v>
      </c>
      <c r="F33" s="59">
        <f t="shared" si="9"/>
        <v>10</v>
      </c>
      <c r="G33" s="59">
        <f t="shared" si="9"/>
        <v>18</v>
      </c>
      <c r="H33" s="59">
        <f t="shared" si="9"/>
        <v>19</v>
      </c>
      <c r="I33" s="59">
        <f t="shared" si="9"/>
        <v>0</v>
      </c>
      <c r="J33" s="59">
        <f t="shared" si="9"/>
        <v>0</v>
      </c>
      <c r="K33" s="59">
        <f t="shared" si="9"/>
        <v>0</v>
      </c>
      <c r="L33" s="59">
        <f t="shared" si="9"/>
        <v>0</v>
      </c>
      <c r="M33" s="59">
        <f t="shared" si="9"/>
        <v>2</v>
      </c>
      <c r="N33" s="59">
        <f t="shared" si="9"/>
        <v>0</v>
      </c>
      <c r="O33" s="59">
        <f t="shared" si="9"/>
        <v>1</v>
      </c>
      <c r="P33" s="59">
        <f t="shared" si="9"/>
        <v>5</v>
      </c>
      <c r="Q33" s="59">
        <f t="shared" si="9"/>
        <v>4</v>
      </c>
      <c r="R33" s="59">
        <f t="shared" si="9"/>
        <v>2</v>
      </c>
      <c r="S33" s="59">
        <f t="shared" si="9"/>
        <v>8</v>
      </c>
      <c r="T33" s="59">
        <f t="shared" si="9"/>
        <v>5</v>
      </c>
      <c r="U33" s="59">
        <f t="shared" si="9"/>
        <v>5</v>
      </c>
      <c r="V33" s="59">
        <f t="shared" si="9"/>
        <v>5</v>
      </c>
      <c r="W33" s="59">
        <f t="shared" si="9"/>
        <v>0</v>
      </c>
      <c r="X33" s="59">
        <f t="shared" si="9"/>
        <v>7</v>
      </c>
      <c r="Y33" s="59">
        <f t="shared" si="9"/>
        <v>5</v>
      </c>
      <c r="Z33" s="59">
        <f t="shared" si="9"/>
        <v>13</v>
      </c>
      <c r="AA33" s="59">
        <f t="shared" si="9"/>
        <v>12</v>
      </c>
      <c r="AB33" s="59">
        <f t="shared" si="9"/>
        <v>16</v>
      </c>
      <c r="AC33" s="59">
        <f t="shared" si="9"/>
        <v>0</v>
      </c>
      <c r="AD33" s="59">
        <f t="shared" si="9"/>
        <v>0</v>
      </c>
      <c r="AE33" s="59">
        <f t="shared" si="9"/>
        <v>0</v>
      </c>
      <c r="AF33" s="59">
        <f t="shared" si="9"/>
        <v>0</v>
      </c>
      <c r="AG33" s="59">
        <f t="shared" si="9"/>
        <v>1</v>
      </c>
      <c r="AH33" s="59">
        <f t="shared" si="9"/>
        <v>1</v>
      </c>
      <c r="AI33" s="59">
        <f t="shared" si="9"/>
        <v>2</v>
      </c>
      <c r="AJ33" s="59">
        <f t="shared" si="9"/>
        <v>1</v>
      </c>
      <c r="AK33" s="59">
        <f t="shared" si="9"/>
        <v>4</v>
      </c>
      <c r="AL33" s="59">
        <f t="shared" si="9"/>
        <v>9</v>
      </c>
      <c r="AM33" s="59">
        <f t="shared" si="9"/>
        <v>6</v>
      </c>
      <c r="AN33" s="59">
        <f t="shared" si="9"/>
        <v>1</v>
      </c>
      <c r="AO33" s="59">
        <f t="shared" si="9"/>
        <v>0</v>
      </c>
      <c r="AP33" s="59">
        <f t="shared" si="9"/>
        <v>0</v>
      </c>
      <c r="AQ33" s="59">
        <f t="shared" si="9"/>
        <v>0</v>
      </c>
      <c r="AR33" s="59">
        <f t="shared" si="9"/>
        <v>0</v>
      </c>
      <c r="AS33" s="59">
        <f t="shared" si="9"/>
        <v>0</v>
      </c>
      <c r="AT33" s="59">
        <f t="shared" si="9"/>
        <v>0</v>
      </c>
      <c r="AU33" s="59">
        <f t="shared" si="9"/>
        <v>1</v>
      </c>
      <c r="AV33" s="59">
        <f t="shared" si="9"/>
        <v>0</v>
      </c>
      <c r="AW33" s="59">
        <f t="shared" si="9"/>
        <v>0</v>
      </c>
      <c r="AX33" s="59">
        <f t="shared" si="9"/>
        <v>0</v>
      </c>
    </row>
    <row r="34" spans="2:50">
      <c r="B34" s="59">
        <v>90</v>
      </c>
      <c r="C34" s="59">
        <f t="shared" ref="C34:AX34" si="10">COUNTIF(C$4:C$31,"&gt;89")-C33</f>
        <v>17</v>
      </c>
      <c r="D34" s="59">
        <f t="shared" si="10"/>
        <v>16</v>
      </c>
      <c r="E34" s="59">
        <f t="shared" si="10"/>
        <v>21</v>
      </c>
      <c r="F34" s="59">
        <f t="shared" si="10"/>
        <v>16</v>
      </c>
      <c r="G34" s="59">
        <f t="shared" si="10"/>
        <v>10</v>
      </c>
      <c r="H34" s="59">
        <f t="shared" si="10"/>
        <v>7</v>
      </c>
      <c r="I34" s="59">
        <f t="shared" si="10"/>
        <v>0</v>
      </c>
      <c r="J34" s="59">
        <f t="shared" si="10"/>
        <v>0</v>
      </c>
      <c r="K34" s="59">
        <f t="shared" si="10"/>
        <v>0</v>
      </c>
      <c r="L34" s="59">
        <f t="shared" si="10"/>
        <v>24</v>
      </c>
      <c r="M34" s="59">
        <f t="shared" si="10"/>
        <v>4</v>
      </c>
      <c r="N34" s="59">
        <f t="shared" si="10"/>
        <v>12</v>
      </c>
      <c r="O34" s="59">
        <f t="shared" si="10"/>
        <v>9</v>
      </c>
      <c r="P34" s="59">
        <f t="shared" si="10"/>
        <v>14</v>
      </c>
      <c r="Q34" s="59">
        <f t="shared" si="10"/>
        <v>11</v>
      </c>
      <c r="R34" s="59">
        <f t="shared" si="10"/>
        <v>10</v>
      </c>
      <c r="S34" s="59">
        <f t="shared" si="10"/>
        <v>8</v>
      </c>
      <c r="T34" s="59">
        <f t="shared" si="10"/>
        <v>15</v>
      </c>
      <c r="U34" s="59">
        <f t="shared" si="10"/>
        <v>16</v>
      </c>
      <c r="V34" s="59">
        <f t="shared" si="10"/>
        <v>4</v>
      </c>
      <c r="W34" s="59">
        <f t="shared" si="10"/>
        <v>11</v>
      </c>
      <c r="X34" s="59">
        <f t="shared" si="10"/>
        <v>14</v>
      </c>
      <c r="Y34" s="59">
        <f t="shared" si="10"/>
        <v>19</v>
      </c>
      <c r="Z34" s="59">
        <f t="shared" si="10"/>
        <v>11</v>
      </c>
      <c r="AA34" s="59">
        <f t="shared" si="10"/>
        <v>15</v>
      </c>
      <c r="AB34" s="59">
        <f t="shared" si="10"/>
        <v>9</v>
      </c>
      <c r="AC34" s="59">
        <f t="shared" si="10"/>
        <v>0</v>
      </c>
      <c r="AD34" s="59">
        <f t="shared" si="10"/>
        <v>0</v>
      </c>
      <c r="AE34" s="59">
        <f t="shared" si="10"/>
        <v>0</v>
      </c>
      <c r="AF34" s="59">
        <f t="shared" si="10"/>
        <v>0</v>
      </c>
      <c r="AG34" s="59">
        <f t="shared" si="10"/>
        <v>24</v>
      </c>
      <c r="AH34" s="59">
        <f t="shared" si="10"/>
        <v>14</v>
      </c>
      <c r="AI34" s="59">
        <f t="shared" si="10"/>
        <v>18</v>
      </c>
      <c r="AJ34" s="59">
        <f t="shared" si="10"/>
        <v>20</v>
      </c>
      <c r="AK34" s="59">
        <f t="shared" si="10"/>
        <v>21</v>
      </c>
      <c r="AL34" s="59">
        <f t="shared" si="10"/>
        <v>17</v>
      </c>
      <c r="AM34" s="59">
        <f t="shared" si="10"/>
        <v>13</v>
      </c>
      <c r="AN34" s="59">
        <f t="shared" si="10"/>
        <v>0</v>
      </c>
      <c r="AO34" s="59">
        <f t="shared" si="10"/>
        <v>0</v>
      </c>
      <c r="AP34" s="59">
        <f t="shared" si="10"/>
        <v>0</v>
      </c>
      <c r="AQ34" s="59">
        <f t="shared" si="10"/>
        <v>0</v>
      </c>
      <c r="AR34" s="59">
        <f t="shared" si="10"/>
        <v>0</v>
      </c>
      <c r="AS34" s="59">
        <f t="shared" si="10"/>
        <v>19</v>
      </c>
      <c r="AT34" s="59">
        <f t="shared" si="10"/>
        <v>0</v>
      </c>
      <c r="AU34" s="59">
        <f t="shared" si="10"/>
        <v>14</v>
      </c>
      <c r="AV34" s="59">
        <f t="shared" si="10"/>
        <v>0</v>
      </c>
      <c r="AW34" s="59">
        <f t="shared" si="10"/>
        <v>20</v>
      </c>
      <c r="AX34" s="59">
        <f t="shared" si="10"/>
        <v>0</v>
      </c>
    </row>
    <row r="35" spans="2:50">
      <c r="B35" s="59">
        <v>80</v>
      </c>
      <c r="C35" s="59">
        <f t="shared" ref="C35:AX35" si="11">COUNTIF(C$4:C$31,"&gt;79")-C34-C33</f>
        <v>2</v>
      </c>
      <c r="D35" s="59">
        <f t="shared" si="11"/>
        <v>7</v>
      </c>
      <c r="E35" s="59">
        <f t="shared" si="11"/>
        <v>3</v>
      </c>
      <c r="F35" s="59">
        <f t="shared" si="11"/>
        <v>2</v>
      </c>
      <c r="G35" s="59">
        <f t="shared" si="11"/>
        <v>0</v>
      </c>
      <c r="H35" s="59">
        <f t="shared" si="11"/>
        <v>2</v>
      </c>
      <c r="I35" s="59">
        <f t="shared" si="11"/>
        <v>0</v>
      </c>
      <c r="J35" s="59">
        <f t="shared" si="11"/>
        <v>0</v>
      </c>
      <c r="K35" s="59">
        <f t="shared" si="11"/>
        <v>0</v>
      </c>
      <c r="L35" s="59">
        <f t="shared" si="11"/>
        <v>4</v>
      </c>
      <c r="M35" s="59">
        <f t="shared" si="11"/>
        <v>5</v>
      </c>
      <c r="N35" s="59">
        <f t="shared" si="11"/>
        <v>7</v>
      </c>
      <c r="O35" s="59">
        <f t="shared" si="11"/>
        <v>8</v>
      </c>
      <c r="P35" s="59">
        <f t="shared" si="11"/>
        <v>5</v>
      </c>
      <c r="Q35" s="59">
        <f t="shared" si="11"/>
        <v>6</v>
      </c>
      <c r="R35" s="59">
        <f t="shared" si="11"/>
        <v>9</v>
      </c>
      <c r="S35" s="59">
        <f t="shared" si="11"/>
        <v>6</v>
      </c>
      <c r="T35" s="59">
        <f t="shared" si="11"/>
        <v>4</v>
      </c>
      <c r="U35" s="59">
        <f t="shared" si="11"/>
        <v>5</v>
      </c>
      <c r="V35" s="59">
        <f t="shared" si="11"/>
        <v>4</v>
      </c>
      <c r="W35" s="59">
        <f t="shared" si="11"/>
        <v>11</v>
      </c>
      <c r="X35" s="59">
        <f t="shared" si="11"/>
        <v>3</v>
      </c>
      <c r="Y35" s="59">
        <f t="shared" si="11"/>
        <v>4</v>
      </c>
      <c r="Z35" s="59">
        <f t="shared" si="11"/>
        <v>3</v>
      </c>
      <c r="AA35" s="59">
        <f t="shared" si="11"/>
        <v>0</v>
      </c>
      <c r="AB35" s="59">
        <f t="shared" si="11"/>
        <v>3</v>
      </c>
      <c r="AC35" s="59">
        <f t="shared" si="11"/>
        <v>0</v>
      </c>
      <c r="AD35" s="59">
        <f t="shared" si="11"/>
        <v>0</v>
      </c>
      <c r="AE35" s="59">
        <f t="shared" si="11"/>
        <v>0</v>
      </c>
      <c r="AF35" s="59">
        <f t="shared" si="11"/>
        <v>0</v>
      </c>
      <c r="AG35" s="59">
        <f t="shared" si="11"/>
        <v>2</v>
      </c>
      <c r="AH35" s="59">
        <f t="shared" si="11"/>
        <v>9</v>
      </c>
      <c r="AI35" s="59">
        <f t="shared" si="11"/>
        <v>5</v>
      </c>
      <c r="AJ35" s="59">
        <f t="shared" si="11"/>
        <v>4</v>
      </c>
      <c r="AK35" s="59">
        <f t="shared" si="11"/>
        <v>1</v>
      </c>
      <c r="AL35" s="59">
        <f t="shared" si="11"/>
        <v>2</v>
      </c>
      <c r="AM35" s="59">
        <f t="shared" si="11"/>
        <v>4</v>
      </c>
      <c r="AN35" s="59">
        <f t="shared" si="11"/>
        <v>0</v>
      </c>
      <c r="AO35" s="59">
        <f t="shared" si="11"/>
        <v>0</v>
      </c>
      <c r="AP35" s="59">
        <f t="shared" si="11"/>
        <v>0</v>
      </c>
      <c r="AQ35" s="59">
        <f t="shared" si="11"/>
        <v>0</v>
      </c>
      <c r="AR35" s="59">
        <f t="shared" si="11"/>
        <v>0</v>
      </c>
      <c r="AS35" s="59">
        <f t="shared" si="11"/>
        <v>8</v>
      </c>
      <c r="AT35" s="59">
        <f t="shared" si="11"/>
        <v>0</v>
      </c>
      <c r="AU35" s="59">
        <f t="shared" si="11"/>
        <v>9</v>
      </c>
      <c r="AV35" s="59">
        <f t="shared" si="11"/>
        <v>0</v>
      </c>
      <c r="AW35" s="59">
        <f t="shared" si="11"/>
        <v>4</v>
      </c>
      <c r="AX35" s="59">
        <f t="shared" si="11"/>
        <v>0</v>
      </c>
    </row>
    <row r="36" spans="2:50">
      <c r="B36" s="59">
        <v>70</v>
      </c>
      <c r="C36" s="59">
        <f t="shared" ref="C36:AX36" si="12">COUNTIF(C$4:C$31,"&gt;69")-C35-C34-C33</f>
        <v>3</v>
      </c>
      <c r="D36" s="59">
        <f t="shared" si="12"/>
        <v>0</v>
      </c>
      <c r="E36" s="59">
        <f t="shared" si="12"/>
        <v>1</v>
      </c>
      <c r="F36" s="59">
        <f t="shared" si="12"/>
        <v>0</v>
      </c>
      <c r="G36" s="59">
        <f t="shared" si="12"/>
        <v>0</v>
      </c>
      <c r="H36" s="59">
        <f t="shared" si="12"/>
        <v>0</v>
      </c>
      <c r="I36" s="59">
        <f t="shared" si="12"/>
        <v>0</v>
      </c>
      <c r="J36" s="59">
        <f t="shared" si="12"/>
        <v>0</v>
      </c>
      <c r="K36" s="59">
        <f t="shared" si="12"/>
        <v>0</v>
      </c>
      <c r="L36" s="59">
        <f t="shared" si="12"/>
        <v>0</v>
      </c>
      <c r="M36" s="59">
        <f t="shared" si="12"/>
        <v>5</v>
      </c>
      <c r="N36" s="59">
        <f t="shared" si="12"/>
        <v>5</v>
      </c>
      <c r="O36" s="59">
        <f t="shared" si="12"/>
        <v>5</v>
      </c>
      <c r="P36" s="59">
        <f t="shared" si="12"/>
        <v>0</v>
      </c>
      <c r="Q36" s="59">
        <f t="shared" si="12"/>
        <v>5</v>
      </c>
      <c r="R36" s="59">
        <f t="shared" si="12"/>
        <v>4</v>
      </c>
      <c r="S36" s="59">
        <f t="shared" si="12"/>
        <v>5</v>
      </c>
      <c r="T36" s="59">
        <f t="shared" si="12"/>
        <v>3</v>
      </c>
      <c r="U36" s="59">
        <f t="shared" si="12"/>
        <v>1</v>
      </c>
      <c r="V36" s="59">
        <f t="shared" si="12"/>
        <v>4</v>
      </c>
      <c r="W36" s="59">
        <f t="shared" si="12"/>
        <v>2</v>
      </c>
      <c r="X36" s="59">
        <f t="shared" si="12"/>
        <v>2</v>
      </c>
      <c r="Y36" s="59">
        <f t="shared" si="12"/>
        <v>0</v>
      </c>
      <c r="Z36" s="59">
        <f t="shared" si="12"/>
        <v>1</v>
      </c>
      <c r="AA36" s="59">
        <f t="shared" si="12"/>
        <v>1</v>
      </c>
      <c r="AB36" s="59">
        <f t="shared" si="12"/>
        <v>0</v>
      </c>
      <c r="AC36" s="59">
        <f t="shared" si="12"/>
        <v>0</v>
      </c>
      <c r="AD36" s="59">
        <f t="shared" si="12"/>
        <v>0</v>
      </c>
      <c r="AE36" s="59">
        <f t="shared" si="12"/>
        <v>0</v>
      </c>
      <c r="AF36" s="59">
        <f t="shared" si="12"/>
        <v>0</v>
      </c>
      <c r="AG36" s="59">
        <f t="shared" si="12"/>
        <v>1</v>
      </c>
      <c r="AH36" s="59">
        <f t="shared" si="12"/>
        <v>4</v>
      </c>
      <c r="AI36" s="59">
        <f t="shared" si="12"/>
        <v>1</v>
      </c>
      <c r="AJ36" s="59">
        <f t="shared" si="12"/>
        <v>2</v>
      </c>
      <c r="AK36" s="59">
        <f t="shared" si="12"/>
        <v>1</v>
      </c>
      <c r="AL36" s="59">
        <f t="shared" si="12"/>
        <v>0</v>
      </c>
      <c r="AM36" s="59">
        <f t="shared" si="12"/>
        <v>0</v>
      </c>
      <c r="AN36" s="59">
        <f t="shared" si="12"/>
        <v>0</v>
      </c>
      <c r="AO36" s="59">
        <f t="shared" si="12"/>
        <v>0</v>
      </c>
      <c r="AP36" s="59">
        <f t="shared" si="12"/>
        <v>0</v>
      </c>
      <c r="AQ36" s="59">
        <f t="shared" si="12"/>
        <v>0</v>
      </c>
      <c r="AR36" s="59">
        <f t="shared" si="12"/>
        <v>0</v>
      </c>
      <c r="AS36" s="59">
        <f t="shared" si="12"/>
        <v>1</v>
      </c>
      <c r="AT36" s="59">
        <f t="shared" si="12"/>
        <v>0</v>
      </c>
      <c r="AU36" s="59">
        <f t="shared" si="12"/>
        <v>0</v>
      </c>
      <c r="AV36" s="59">
        <f t="shared" si="12"/>
        <v>0</v>
      </c>
      <c r="AW36" s="59">
        <f t="shared" si="12"/>
        <v>3</v>
      </c>
      <c r="AX36" s="59">
        <f t="shared" si="12"/>
        <v>0</v>
      </c>
    </row>
    <row r="37" spans="2:50">
      <c r="B37" s="59">
        <v>60</v>
      </c>
      <c r="C37" s="59">
        <f t="shared" ref="C37:AX37" si="13">COUNTIF(C$4:C$31,"&gt;59")-C36-C35-C34-C33</f>
        <v>0</v>
      </c>
      <c r="D37" s="59">
        <f t="shared" si="13"/>
        <v>0</v>
      </c>
      <c r="E37" s="59">
        <f t="shared" si="13"/>
        <v>1</v>
      </c>
      <c r="F37" s="59">
        <f t="shared" si="13"/>
        <v>0</v>
      </c>
      <c r="G37" s="59">
        <f t="shared" si="13"/>
        <v>0</v>
      </c>
      <c r="H37" s="59">
        <f t="shared" si="13"/>
        <v>0</v>
      </c>
      <c r="I37" s="59">
        <f t="shared" si="13"/>
        <v>0</v>
      </c>
      <c r="J37" s="59">
        <f t="shared" si="13"/>
        <v>0</v>
      </c>
      <c r="K37" s="59">
        <f t="shared" si="13"/>
        <v>0</v>
      </c>
      <c r="L37" s="59">
        <f t="shared" si="13"/>
        <v>0</v>
      </c>
      <c r="M37" s="59">
        <f t="shared" si="13"/>
        <v>6</v>
      </c>
      <c r="N37" s="59">
        <f t="shared" si="13"/>
        <v>2</v>
      </c>
      <c r="O37" s="59">
        <f t="shared" si="13"/>
        <v>1</v>
      </c>
      <c r="P37" s="59">
        <f t="shared" si="13"/>
        <v>1</v>
      </c>
      <c r="Q37" s="59">
        <f t="shared" si="13"/>
        <v>1</v>
      </c>
      <c r="R37" s="59">
        <f t="shared" si="13"/>
        <v>2</v>
      </c>
      <c r="S37" s="59">
        <f t="shared" si="13"/>
        <v>1</v>
      </c>
      <c r="T37" s="59">
        <f t="shared" si="13"/>
        <v>1</v>
      </c>
      <c r="U37" s="59">
        <f t="shared" si="13"/>
        <v>1</v>
      </c>
      <c r="V37" s="59">
        <f t="shared" si="13"/>
        <v>5</v>
      </c>
      <c r="W37" s="59">
        <f t="shared" si="13"/>
        <v>3</v>
      </c>
      <c r="X37" s="59">
        <f t="shared" si="13"/>
        <v>1</v>
      </c>
      <c r="Y37" s="59">
        <f t="shared" si="13"/>
        <v>0</v>
      </c>
      <c r="Z37" s="59">
        <f t="shared" si="13"/>
        <v>0</v>
      </c>
      <c r="AA37" s="59">
        <f t="shared" si="13"/>
        <v>0</v>
      </c>
      <c r="AB37" s="59">
        <f t="shared" si="13"/>
        <v>0</v>
      </c>
      <c r="AC37" s="59">
        <f t="shared" si="13"/>
        <v>0</v>
      </c>
      <c r="AD37" s="59">
        <f t="shared" si="13"/>
        <v>0</v>
      </c>
      <c r="AE37" s="59">
        <f t="shared" si="13"/>
        <v>0</v>
      </c>
      <c r="AF37" s="59">
        <f t="shared" si="13"/>
        <v>0</v>
      </c>
      <c r="AG37" s="59">
        <f t="shared" si="13"/>
        <v>0</v>
      </c>
      <c r="AH37" s="59">
        <f t="shared" si="13"/>
        <v>0</v>
      </c>
      <c r="AI37" s="59">
        <f t="shared" si="13"/>
        <v>2</v>
      </c>
      <c r="AJ37" s="59">
        <f t="shared" si="13"/>
        <v>0</v>
      </c>
      <c r="AK37" s="59">
        <f t="shared" si="13"/>
        <v>1</v>
      </c>
      <c r="AL37" s="59">
        <f t="shared" si="13"/>
        <v>0</v>
      </c>
      <c r="AM37" s="59">
        <f t="shared" si="13"/>
        <v>0</v>
      </c>
      <c r="AN37" s="59">
        <f t="shared" si="13"/>
        <v>0</v>
      </c>
      <c r="AO37" s="59">
        <f t="shared" si="13"/>
        <v>0</v>
      </c>
      <c r="AP37" s="59">
        <f t="shared" si="13"/>
        <v>0</v>
      </c>
      <c r="AQ37" s="59">
        <f t="shared" si="13"/>
        <v>0</v>
      </c>
      <c r="AR37" s="59">
        <f t="shared" si="13"/>
        <v>0</v>
      </c>
      <c r="AS37" s="59">
        <f t="shared" si="13"/>
        <v>0</v>
      </c>
      <c r="AT37" s="59">
        <f t="shared" si="13"/>
        <v>0</v>
      </c>
      <c r="AU37" s="59">
        <f t="shared" si="13"/>
        <v>3</v>
      </c>
      <c r="AV37" s="59">
        <f t="shared" si="13"/>
        <v>0</v>
      </c>
      <c r="AW37" s="59">
        <f t="shared" si="13"/>
        <v>1</v>
      </c>
      <c r="AX37" s="59">
        <f t="shared" si="13"/>
        <v>0</v>
      </c>
    </row>
    <row r="38" spans="2:50">
      <c r="B38" s="59" t="s">
        <v>215</v>
      </c>
      <c r="C38" s="59">
        <f t="shared" ref="C38:AR38" si="14">28-C37-C36-C35-C34-C33</f>
        <v>0</v>
      </c>
      <c r="D38" s="59">
        <f t="shared" si="14"/>
        <v>0</v>
      </c>
      <c r="E38" s="59">
        <f t="shared" si="14"/>
        <v>0</v>
      </c>
      <c r="F38" s="59">
        <f t="shared" si="14"/>
        <v>0</v>
      </c>
      <c r="G38" s="59">
        <f t="shared" si="14"/>
        <v>0</v>
      </c>
      <c r="H38" s="59">
        <f t="shared" si="14"/>
        <v>0</v>
      </c>
      <c r="I38" s="59">
        <f t="shared" si="14"/>
        <v>28</v>
      </c>
      <c r="J38" s="59">
        <f t="shared" si="14"/>
        <v>28</v>
      </c>
      <c r="K38" s="59">
        <f t="shared" si="14"/>
        <v>28</v>
      </c>
      <c r="L38" s="59">
        <f t="shared" si="14"/>
        <v>0</v>
      </c>
      <c r="M38" s="59">
        <f t="shared" si="14"/>
        <v>6</v>
      </c>
      <c r="N38" s="59">
        <f t="shared" si="14"/>
        <v>2</v>
      </c>
      <c r="O38" s="59">
        <f t="shared" si="14"/>
        <v>4</v>
      </c>
      <c r="P38" s="59">
        <f t="shared" si="14"/>
        <v>3</v>
      </c>
      <c r="Q38" s="59">
        <f t="shared" si="14"/>
        <v>1</v>
      </c>
      <c r="R38" s="59">
        <f t="shared" si="14"/>
        <v>1</v>
      </c>
      <c r="S38" s="59">
        <f t="shared" si="14"/>
        <v>0</v>
      </c>
      <c r="T38" s="59">
        <f t="shared" si="14"/>
        <v>0</v>
      </c>
      <c r="U38" s="59">
        <f t="shared" si="14"/>
        <v>0</v>
      </c>
      <c r="V38" s="59">
        <f t="shared" si="14"/>
        <v>6</v>
      </c>
      <c r="W38" s="59">
        <f t="shared" si="14"/>
        <v>1</v>
      </c>
      <c r="X38" s="59">
        <f t="shared" si="14"/>
        <v>1</v>
      </c>
      <c r="Y38" s="59">
        <f t="shared" si="14"/>
        <v>0</v>
      </c>
      <c r="Z38" s="59">
        <f t="shared" si="14"/>
        <v>0</v>
      </c>
      <c r="AA38" s="59">
        <f t="shared" si="14"/>
        <v>0</v>
      </c>
      <c r="AB38" s="59">
        <f t="shared" si="14"/>
        <v>0</v>
      </c>
      <c r="AC38" s="59">
        <f t="shared" si="14"/>
        <v>28</v>
      </c>
      <c r="AD38" s="59">
        <f t="shared" si="14"/>
        <v>28</v>
      </c>
      <c r="AE38" s="59">
        <f t="shared" si="14"/>
        <v>28</v>
      </c>
      <c r="AF38" s="59">
        <f t="shared" si="14"/>
        <v>28</v>
      </c>
      <c r="AG38" s="59">
        <f t="shared" si="14"/>
        <v>0</v>
      </c>
      <c r="AH38" s="59">
        <f t="shared" si="14"/>
        <v>0</v>
      </c>
      <c r="AI38" s="59">
        <f t="shared" si="14"/>
        <v>0</v>
      </c>
      <c r="AJ38" s="59">
        <f t="shared" si="14"/>
        <v>1</v>
      </c>
      <c r="AK38" s="59">
        <f t="shared" si="14"/>
        <v>0</v>
      </c>
      <c r="AL38" s="59">
        <f t="shared" si="14"/>
        <v>0</v>
      </c>
      <c r="AM38" s="59">
        <f t="shared" si="14"/>
        <v>5</v>
      </c>
      <c r="AN38" s="59">
        <f t="shared" si="14"/>
        <v>27</v>
      </c>
      <c r="AO38" s="59">
        <f t="shared" si="14"/>
        <v>28</v>
      </c>
      <c r="AP38" s="59">
        <f t="shared" si="14"/>
        <v>28</v>
      </c>
      <c r="AQ38" s="59">
        <f t="shared" si="14"/>
        <v>28</v>
      </c>
      <c r="AR38" s="59">
        <f t="shared" si="14"/>
        <v>28</v>
      </c>
      <c r="AS38" s="59">
        <f t="shared" ref="AS38:AX38" si="15">29-AS37-AS36-AS35-AS34-AS33</f>
        <v>1</v>
      </c>
      <c r="AT38" s="59">
        <f t="shared" si="15"/>
        <v>29</v>
      </c>
      <c r="AU38" s="59">
        <f t="shared" si="15"/>
        <v>2</v>
      </c>
      <c r="AV38" s="59">
        <f t="shared" si="15"/>
        <v>29</v>
      </c>
      <c r="AW38" s="59">
        <f t="shared" si="15"/>
        <v>1</v>
      </c>
      <c r="AX38" s="59">
        <f t="shared" si="15"/>
        <v>29</v>
      </c>
    </row>
    <row r="39" spans="2:50" ht="14.25">
      <c r="B39" s="62" t="s">
        <v>216</v>
      </c>
      <c r="C39" s="59">
        <f>SUM(C33:C38)</f>
        <v>28</v>
      </c>
      <c r="D39" s="59">
        <f t="shared" ref="D39:AX39" si="16">SUM(D33:D38)</f>
        <v>28</v>
      </c>
      <c r="E39" s="59">
        <f t="shared" si="16"/>
        <v>28</v>
      </c>
      <c r="F39" s="59">
        <f t="shared" si="16"/>
        <v>28</v>
      </c>
      <c r="G39" s="59">
        <f t="shared" si="16"/>
        <v>28</v>
      </c>
      <c r="H39" s="59">
        <f t="shared" si="16"/>
        <v>28</v>
      </c>
      <c r="I39" s="59">
        <f t="shared" si="16"/>
        <v>28</v>
      </c>
      <c r="J39" s="59">
        <f t="shared" si="16"/>
        <v>28</v>
      </c>
      <c r="K39" s="59">
        <f t="shared" si="16"/>
        <v>28</v>
      </c>
      <c r="L39" s="59">
        <f t="shared" si="16"/>
        <v>28</v>
      </c>
      <c r="M39" s="59">
        <f t="shared" si="16"/>
        <v>28</v>
      </c>
      <c r="N39" s="59">
        <f t="shared" si="16"/>
        <v>28</v>
      </c>
      <c r="O39" s="59">
        <f t="shared" si="16"/>
        <v>28</v>
      </c>
      <c r="P39" s="59">
        <f t="shared" si="16"/>
        <v>28</v>
      </c>
      <c r="Q39" s="59">
        <f t="shared" si="16"/>
        <v>28</v>
      </c>
      <c r="R39" s="59">
        <f t="shared" si="16"/>
        <v>28</v>
      </c>
      <c r="S39" s="59">
        <f t="shared" si="16"/>
        <v>28</v>
      </c>
      <c r="T39" s="59">
        <f t="shared" si="16"/>
        <v>28</v>
      </c>
      <c r="U39" s="59">
        <f t="shared" si="16"/>
        <v>28</v>
      </c>
      <c r="V39" s="59">
        <f t="shared" si="16"/>
        <v>28</v>
      </c>
      <c r="W39" s="59">
        <f t="shared" si="16"/>
        <v>28</v>
      </c>
      <c r="X39" s="59">
        <f t="shared" si="16"/>
        <v>28</v>
      </c>
      <c r="Y39" s="59">
        <f t="shared" si="16"/>
        <v>28</v>
      </c>
      <c r="Z39" s="59">
        <f t="shared" si="16"/>
        <v>28</v>
      </c>
      <c r="AA39" s="59">
        <f t="shared" si="16"/>
        <v>28</v>
      </c>
      <c r="AB39" s="59">
        <f t="shared" si="16"/>
        <v>28</v>
      </c>
      <c r="AC39" s="59">
        <f t="shared" si="16"/>
        <v>28</v>
      </c>
      <c r="AD39" s="59">
        <f t="shared" si="16"/>
        <v>28</v>
      </c>
      <c r="AE39" s="59">
        <f t="shared" si="16"/>
        <v>28</v>
      </c>
      <c r="AF39" s="59">
        <f t="shared" si="16"/>
        <v>28</v>
      </c>
      <c r="AG39" s="59">
        <f t="shared" si="16"/>
        <v>28</v>
      </c>
      <c r="AH39" s="59">
        <f t="shared" si="16"/>
        <v>28</v>
      </c>
      <c r="AI39" s="59">
        <f t="shared" si="16"/>
        <v>28</v>
      </c>
      <c r="AJ39" s="59">
        <f t="shared" si="16"/>
        <v>28</v>
      </c>
      <c r="AK39" s="59">
        <f t="shared" si="16"/>
        <v>28</v>
      </c>
      <c r="AL39" s="59">
        <f t="shared" si="16"/>
        <v>28</v>
      </c>
      <c r="AM39" s="59">
        <f t="shared" si="16"/>
        <v>28</v>
      </c>
      <c r="AN39" s="59">
        <f t="shared" si="16"/>
        <v>28</v>
      </c>
      <c r="AO39" s="59">
        <f t="shared" si="16"/>
        <v>28</v>
      </c>
      <c r="AP39" s="59">
        <f t="shared" si="16"/>
        <v>28</v>
      </c>
      <c r="AQ39" s="59">
        <f t="shared" si="16"/>
        <v>28</v>
      </c>
      <c r="AR39" s="59">
        <f t="shared" si="16"/>
        <v>28</v>
      </c>
      <c r="AS39" s="59">
        <f t="shared" si="16"/>
        <v>29</v>
      </c>
      <c r="AT39" s="59">
        <f t="shared" si="16"/>
        <v>29</v>
      </c>
      <c r="AU39" s="59">
        <f t="shared" si="16"/>
        <v>29</v>
      </c>
      <c r="AV39" s="59">
        <f t="shared" si="16"/>
        <v>29</v>
      </c>
      <c r="AW39" s="59">
        <f t="shared" si="16"/>
        <v>29</v>
      </c>
      <c r="AX39" s="59">
        <f t="shared" si="16"/>
        <v>29</v>
      </c>
    </row>
  </sheetData>
  <mergeCells count="9">
    <mergeCell ref="AR2:AS2"/>
    <mergeCell ref="AT2:AU2"/>
    <mergeCell ref="AV2:AX2"/>
    <mergeCell ref="A1:AG1"/>
    <mergeCell ref="A2:B2"/>
    <mergeCell ref="C2:L2"/>
    <mergeCell ref="M2:W2"/>
    <mergeCell ref="X2:AG2"/>
    <mergeCell ref="AH2:AQ2"/>
  </mergeCells>
  <phoneticPr fontId="2" type="noConversion"/>
  <pageMargins left="0.19685039370078741" right="0.19685039370078741" top="0.59055118110236227" bottom="0.39370078740157483" header="0" footer="0"/>
  <pageSetup paperSize="9" firstPageNumber="0" fitToWidth="0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X39"/>
  <sheetViews>
    <sheetView zoomScaleNormal="100" workbookViewId="0">
      <selection activeCell="AQ19" sqref="AQ19"/>
    </sheetView>
  </sheetViews>
  <sheetFormatPr defaultRowHeight="12.75"/>
  <cols>
    <col min="1" max="1" width="2.875" style="59" customWidth="1"/>
    <col min="2" max="2" width="7" style="59" customWidth="1"/>
    <col min="3" max="33" width="3.375" style="59" hidden="1" customWidth="1"/>
    <col min="34" max="43" width="3.375" style="59" customWidth="1"/>
    <col min="44" max="49" width="4.625" style="59" customWidth="1"/>
    <col min="50" max="50" width="6.625" style="59" customWidth="1"/>
    <col min="51" max="16384" width="9" style="59"/>
  </cols>
  <sheetData>
    <row r="1" spans="1:50" ht="14.25">
      <c r="A1" s="500" t="s">
        <v>204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483" t="s">
        <v>876</v>
      </c>
      <c r="AI1" s="484"/>
      <c r="AJ1" s="484"/>
      <c r="AK1" s="484"/>
      <c r="AL1" s="484"/>
      <c r="AM1" s="484"/>
      <c r="AN1" s="484"/>
      <c r="AO1" s="484"/>
      <c r="AP1" s="484"/>
      <c r="AQ1" s="485"/>
      <c r="AR1" s="213"/>
      <c r="AS1" s="213"/>
      <c r="AT1" s="213"/>
      <c r="AU1" s="213"/>
      <c r="AV1" s="213"/>
      <c r="AW1" s="213"/>
      <c r="AX1" s="213"/>
    </row>
    <row r="2" spans="1:50" ht="14.25">
      <c r="A2" s="500">
        <v>307</v>
      </c>
      <c r="B2" s="489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252">
        <v>43539</v>
      </c>
      <c r="N2" s="252">
        <v>43536</v>
      </c>
      <c r="O2" s="252"/>
      <c r="P2" s="252"/>
      <c r="Q2" s="252"/>
      <c r="R2" s="252"/>
      <c r="S2" s="252"/>
      <c r="T2" s="252"/>
      <c r="U2" s="252"/>
      <c r="V2" s="252"/>
      <c r="W2" s="252"/>
      <c r="X2" s="252">
        <v>43777</v>
      </c>
      <c r="Y2" s="253">
        <v>43832</v>
      </c>
      <c r="Z2" s="254"/>
      <c r="AA2" s="254"/>
      <c r="AB2" s="254"/>
      <c r="AC2" s="254"/>
      <c r="AD2" s="254"/>
      <c r="AE2" s="254"/>
      <c r="AF2" s="254"/>
      <c r="AG2" s="254"/>
      <c r="AH2" s="252">
        <v>43895</v>
      </c>
      <c r="AI2" s="252">
        <v>43909</v>
      </c>
      <c r="AJ2" s="252">
        <v>43910</v>
      </c>
      <c r="AK2" s="254"/>
      <c r="AL2" s="254"/>
      <c r="AM2" s="254"/>
      <c r="AN2" s="254"/>
      <c r="AO2" s="254"/>
      <c r="AP2" s="254"/>
      <c r="AQ2" s="254"/>
      <c r="AR2" s="491" t="s">
        <v>207</v>
      </c>
      <c r="AS2" s="491"/>
      <c r="AT2" s="491" t="s">
        <v>208</v>
      </c>
      <c r="AU2" s="491"/>
      <c r="AV2" s="491" t="s">
        <v>209</v>
      </c>
      <c r="AW2" s="491"/>
      <c r="AX2" s="491"/>
    </row>
    <row r="3" spans="1:50" ht="14.25">
      <c r="A3" s="214" t="s">
        <v>210</v>
      </c>
      <c r="B3" s="214" t="s">
        <v>0</v>
      </c>
      <c r="C3" s="255" t="s">
        <v>306</v>
      </c>
      <c r="D3" s="256" t="s">
        <v>307</v>
      </c>
      <c r="E3" s="255" t="s">
        <v>308</v>
      </c>
      <c r="F3" s="278" t="s">
        <v>214</v>
      </c>
      <c r="G3" s="277"/>
      <c r="H3" s="278" t="s">
        <v>355</v>
      </c>
      <c r="I3" s="277" t="s">
        <v>356</v>
      </c>
      <c r="J3" s="278" t="s">
        <v>357</v>
      </c>
      <c r="K3" s="277" t="s">
        <v>358</v>
      </c>
      <c r="L3" s="278" t="s">
        <v>214</v>
      </c>
      <c r="M3" s="278" t="s">
        <v>420</v>
      </c>
      <c r="N3" s="278" t="s">
        <v>421</v>
      </c>
      <c r="O3" s="278" t="s">
        <v>422</v>
      </c>
      <c r="P3" s="278" t="s">
        <v>423</v>
      </c>
      <c r="Q3" s="213"/>
      <c r="R3" s="278" t="s">
        <v>427</v>
      </c>
      <c r="S3" s="213" t="s">
        <v>425</v>
      </c>
      <c r="T3" s="213"/>
      <c r="U3" s="278" t="s">
        <v>426</v>
      </c>
      <c r="V3" s="213"/>
      <c r="W3" s="213"/>
      <c r="X3" s="278" t="s">
        <v>485</v>
      </c>
      <c r="Y3" s="213">
        <v>14</v>
      </c>
      <c r="Z3" s="278" t="s">
        <v>525</v>
      </c>
      <c r="AA3" s="278" t="s">
        <v>526</v>
      </c>
      <c r="AB3" s="278" t="s">
        <v>529</v>
      </c>
      <c r="AC3" s="213"/>
      <c r="AD3" s="213"/>
      <c r="AE3" s="213"/>
      <c r="AF3" s="213"/>
      <c r="AG3" s="213">
        <f t="shared" ref="AG3:AG30" si="0">AVERAGE(X3:AB3)</f>
        <v>14</v>
      </c>
      <c r="AH3" s="278" t="s">
        <v>554</v>
      </c>
      <c r="AI3" s="278" t="s">
        <v>307</v>
      </c>
      <c r="AJ3" s="278" t="s">
        <v>573</v>
      </c>
      <c r="AK3" s="278" t="s">
        <v>575</v>
      </c>
      <c r="AL3" s="314" t="s">
        <v>624</v>
      </c>
      <c r="AM3" s="314" t="s">
        <v>625</v>
      </c>
      <c r="AN3" s="213"/>
      <c r="AO3" s="213"/>
      <c r="AP3" s="213"/>
      <c r="AQ3" s="213"/>
      <c r="AR3" s="278" t="s">
        <v>211</v>
      </c>
      <c r="AS3" s="278" t="s">
        <v>212</v>
      </c>
      <c r="AT3" s="278" t="s">
        <v>211</v>
      </c>
      <c r="AU3" s="278" t="s">
        <v>212</v>
      </c>
      <c r="AV3" s="278" t="s">
        <v>211</v>
      </c>
      <c r="AW3" s="278" t="s">
        <v>212</v>
      </c>
      <c r="AX3" s="278" t="s">
        <v>213</v>
      </c>
    </row>
    <row r="4" spans="1:50" ht="18.75" customHeight="1">
      <c r="A4" s="147">
        <v>1</v>
      </c>
      <c r="B4" s="135" t="str">
        <f>VLOOKUP(A4,緊急聯絡!A$2:C$27,3,0)</f>
        <v>陳威劭</v>
      </c>
      <c r="C4" s="213">
        <v>95</v>
      </c>
      <c r="D4" s="213">
        <v>97</v>
      </c>
      <c r="E4" s="213">
        <v>93</v>
      </c>
      <c r="F4" s="213">
        <f>AVERAGE(C4:E4)</f>
        <v>95</v>
      </c>
      <c r="G4" s="213">
        <v>3</v>
      </c>
      <c r="H4" s="213">
        <v>86</v>
      </c>
      <c r="I4" s="213">
        <v>92</v>
      </c>
      <c r="J4" s="213">
        <v>93</v>
      </c>
      <c r="K4" s="213">
        <v>93</v>
      </c>
      <c r="L4" s="213">
        <f>AVERAGE(H4:K4)+G4</f>
        <v>94</v>
      </c>
      <c r="M4" s="214">
        <v>92</v>
      </c>
      <c r="N4" s="213">
        <v>86</v>
      </c>
      <c r="O4" s="213">
        <v>90</v>
      </c>
      <c r="P4" s="213">
        <v>92</v>
      </c>
      <c r="Q4" s="213">
        <f>AVERAGE(M4:P4)</f>
        <v>90</v>
      </c>
      <c r="R4" s="213">
        <v>95</v>
      </c>
      <c r="S4" s="213">
        <v>95</v>
      </c>
      <c r="T4" s="213">
        <v>97</v>
      </c>
      <c r="U4" s="213">
        <v>92</v>
      </c>
      <c r="V4" s="213"/>
      <c r="W4" s="213">
        <f>AVERAGE(M4:U4)</f>
        <v>92.111111111111114</v>
      </c>
      <c r="X4" s="213">
        <v>96</v>
      </c>
      <c r="Y4" s="213">
        <v>94</v>
      </c>
      <c r="Z4" s="213">
        <v>95</v>
      </c>
      <c r="AA4" s="213">
        <v>95</v>
      </c>
      <c r="AB4" s="213">
        <v>96</v>
      </c>
      <c r="AC4" s="213"/>
      <c r="AD4" s="213"/>
      <c r="AE4" s="213"/>
      <c r="AF4" s="213"/>
      <c r="AG4" s="257">
        <f t="shared" si="0"/>
        <v>95.2</v>
      </c>
      <c r="AH4" s="213">
        <v>90</v>
      </c>
      <c r="AI4" s="213">
        <v>91</v>
      </c>
      <c r="AJ4" s="213">
        <v>91</v>
      </c>
      <c r="AK4" s="213">
        <f>AVERAGE(AH4:AJ4)</f>
        <v>90.666666666666671</v>
      </c>
      <c r="AL4" s="213">
        <v>92</v>
      </c>
      <c r="AM4" s="213">
        <v>92</v>
      </c>
      <c r="AN4" s="213"/>
      <c r="AO4" s="213"/>
      <c r="AP4" s="213"/>
      <c r="AQ4" s="213"/>
      <c r="AR4" s="213">
        <f>AVERAGE(AH4:AJ4)</f>
        <v>90.666666666666671</v>
      </c>
      <c r="AS4" s="213">
        <f>AVERAGE(AL4:AM4)</f>
        <v>92</v>
      </c>
      <c r="AT4" s="279"/>
      <c r="AU4" s="213"/>
      <c r="AV4" s="213">
        <f>AVERAGE(AR4,AT4)</f>
        <v>90.666666666666671</v>
      </c>
      <c r="AW4" s="213">
        <f>AVERAGE(AS4,AU4)</f>
        <v>92</v>
      </c>
      <c r="AX4" s="213">
        <f>AVERAGE(AV4:AW4)</f>
        <v>91.333333333333343</v>
      </c>
    </row>
    <row r="5" spans="1:50" ht="18.75" customHeight="1">
      <c r="A5" s="147">
        <v>2</v>
      </c>
      <c r="B5" s="135" t="str">
        <f>VLOOKUP(A5,緊急聯絡!A$2:C$27,3,0)</f>
        <v>周宗慶</v>
      </c>
      <c r="C5" s="213">
        <v>92</v>
      </c>
      <c r="D5" s="213">
        <v>94</v>
      </c>
      <c r="E5" s="213">
        <v>94</v>
      </c>
      <c r="F5" s="213">
        <f t="shared" ref="F5:F29" si="1">AVERAGE(C5:E5)</f>
        <v>93.333333333333329</v>
      </c>
      <c r="G5" s="213">
        <v>2</v>
      </c>
      <c r="H5" s="213">
        <v>92</v>
      </c>
      <c r="I5" s="213">
        <v>90</v>
      </c>
      <c r="J5" s="213">
        <v>90</v>
      </c>
      <c r="K5" s="213">
        <v>93</v>
      </c>
      <c r="L5" s="213">
        <f t="shared" ref="L5:L30" si="2">AVERAGE(H5:K5)+G5</f>
        <v>93.25</v>
      </c>
      <c r="M5" s="214">
        <v>94</v>
      </c>
      <c r="N5" s="213">
        <v>93</v>
      </c>
      <c r="O5" s="213">
        <v>92</v>
      </c>
      <c r="P5" s="213">
        <v>92</v>
      </c>
      <c r="Q5" s="213">
        <f t="shared" ref="Q5:Q30" si="3">AVERAGE(M5:P5)</f>
        <v>92.75</v>
      </c>
      <c r="R5" s="213">
        <v>92</v>
      </c>
      <c r="S5" s="213">
        <v>96</v>
      </c>
      <c r="T5" s="213">
        <v>90</v>
      </c>
      <c r="U5" s="213">
        <v>92</v>
      </c>
      <c r="V5" s="213"/>
      <c r="W5" s="213">
        <f t="shared" ref="W5:W30" si="4">AVERAGE(M5:U5)</f>
        <v>92.638888888888886</v>
      </c>
      <c r="X5" s="213">
        <v>95</v>
      </c>
      <c r="Y5" s="213">
        <v>94</v>
      </c>
      <c r="Z5" s="213">
        <v>96</v>
      </c>
      <c r="AA5" s="213">
        <v>95</v>
      </c>
      <c r="AB5" s="213">
        <v>93</v>
      </c>
      <c r="AC5" s="213"/>
      <c r="AD5" s="213"/>
      <c r="AE5" s="213"/>
      <c r="AF5" s="213"/>
      <c r="AG5" s="257">
        <f t="shared" si="0"/>
        <v>94.6</v>
      </c>
      <c r="AH5" s="213">
        <v>93</v>
      </c>
      <c r="AI5" s="213">
        <v>93</v>
      </c>
      <c r="AJ5" s="213">
        <v>93</v>
      </c>
      <c r="AK5" s="213">
        <f t="shared" ref="AK5:AK31" si="5">AVERAGE(AH5:AJ5)</f>
        <v>93</v>
      </c>
      <c r="AL5" s="213">
        <v>94</v>
      </c>
      <c r="AM5" s="213">
        <v>93</v>
      </c>
      <c r="AN5" s="213"/>
      <c r="AO5" s="213"/>
      <c r="AP5" s="213"/>
      <c r="AQ5" s="213"/>
      <c r="AR5" s="213">
        <f t="shared" ref="AR5:AR31" si="6">AVERAGE(AH5:AJ5)</f>
        <v>93</v>
      </c>
      <c r="AS5" s="213">
        <f t="shared" ref="AS5:AS31" si="7">AVERAGE(AL5:AM5)</f>
        <v>93.5</v>
      </c>
      <c r="AT5" s="279"/>
      <c r="AU5" s="213"/>
      <c r="AV5" s="213">
        <f t="shared" ref="AV5:AW26" si="8">AVERAGE(AR5,AT5)</f>
        <v>93</v>
      </c>
      <c r="AW5" s="213">
        <f t="shared" si="8"/>
        <v>93.5</v>
      </c>
      <c r="AX5" s="213">
        <f t="shared" ref="AX5:AX30" si="9">AVERAGE(AV5:AW5)</f>
        <v>93.25</v>
      </c>
    </row>
    <row r="6" spans="1:50" ht="18.75" customHeight="1">
      <c r="A6" s="147">
        <v>3</v>
      </c>
      <c r="B6" s="135" t="str">
        <f>VLOOKUP(A6,緊急聯絡!A$2:C$27,3,0)</f>
        <v>林昱任</v>
      </c>
      <c r="C6" s="213">
        <v>93</v>
      </c>
      <c r="D6" s="213">
        <v>87</v>
      </c>
      <c r="E6" s="213">
        <v>93</v>
      </c>
      <c r="F6" s="213">
        <f t="shared" si="1"/>
        <v>91</v>
      </c>
      <c r="G6" s="213">
        <v>1</v>
      </c>
      <c r="H6" s="213">
        <v>86</v>
      </c>
      <c r="I6" s="213">
        <v>90</v>
      </c>
      <c r="J6" s="213">
        <v>88</v>
      </c>
      <c r="K6" s="213">
        <v>93</v>
      </c>
      <c r="L6" s="213">
        <f t="shared" si="2"/>
        <v>90.25</v>
      </c>
      <c r="M6" s="214">
        <v>91</v>
      </c>
      <c r="N6" s="213">
        <v>86</v>
      </c>
      <c r="O6" s="213">
        <v>85</v>
      </c>
      <c r="P6" s="213">
        <v>92</v>
      </c>
      <c r="Q6" s="213">
        <f t="shared" si="3"/>
        <v>88.5</v>
      </c>
      <c r="R6" s="213">
        <v>90</v>
      </c>
      <c r="S6" s="213">
        <v>92</v>
      </c>
      <c r="T6" s="213">
        <v>89</v>
      </c>
      <c r="U6" s="213">
        <v>92</v>
      </c>
      <c r="V6" s="258"/>
      <c r="W6" s="213">
        <f t="shared" si="4"/>
        <v>89.5</v>
      </c>
      <c r="X6" s="213">
        <v>96</v>
      </c>
      <c r="Y6" s="213">
        <v>93</v>
      </c>
      <c r="Z6" s="213">
        <v>91</v>
      </c>
      <c r="AA6" s="213">
        <v>93</v>
      </c>
      <c r="AB6" s="213">
        <v>93</v>
      </c>
      <c r="AC6" s="213"/>
      <c r="AD6" s="213"/>
      <c r="AE6" s="213"/>
      <c r="AF6" s="213"/>
      <c r="AG6" s="257">
        <f t="shared" si="0"/>
        <v>93.2</v>
      </c>
      <c r="AH6" s="213">
        <v>90</v>
      </c>
      <c r="AI6" s="213">
        <v>90</v>
      </c>
      <c r="AJ6" s="213">
        <v>92</v>
      </c>
      <c r="AK6" s="213">
        <f t="shared" si="5"/>
        <v>90.666666666666671</v>
      </c>
      <c r="AL6" s="213">
        <v>92</v>
      </c>
      <c r="AM6" s="213">
        <v>91</v>
      </c>
      <c r="AN6" s="213"/>
      <c r="AO6" s="213"/>
      <c r="AP6" s="213"/>
      <c r="AQ6" s="213"/>
      <c r="AR6" s="213">
        <f t="shared" si="6"/>
        <v>90.666666666666671</v>
      </c>
      <c r="AS6" s="213">
        <f t="shared" si="7"/>
        <v>91.5</v>
      </c>
      <c r="AT6" s="279"/>
      <c r="AU6" s="213"/>
      <c r="AV6" s="213">
        <f t="shared" si="8"/>
        <v>90.666666666666671</v>
      </c>
      <c r="AW6" s="213">
        <f t="shared" si="8"/>
        <v>91.5</v>
      </c>
      <c r="AX6" s="213">
        <f t="shared" si="9"/>
        <v>91.083333333333343</v>
      </c>
    </row>
    <row r="7" spans="1:50" ht="18.75" customHeight="1">
      <c r="A7" s="147">
        <v>4</v>
      </c>
      <c r="B7" s="135" t="str">
        <f>VLOOKUP(A7,緊急聯絡!A$2:C$27,3,0)</f>
        <v>李奎煜</v>
      </c>
      <c r="C7" s="213">
        <v>92</v>
      </c>
      <c r="D7" s="213">
        <v>85</v>
      </c>
      <c r="E7" s="213">
        <v>90</v>
      </c>
      <c r="F7" s="213">
        <f t="shared" si="1"/>
        <v>89</v>
      </c>
      <c r="G7" s="213">
        <v>1</v>
      </c>
      <c r="H7" s="213">
        <v>92</v>
      </c>
      <c r="I7" s="213">
        <v>90</v>
      </c>
      <c r="J7" s="213">
        <v>90</v>
      </c>
      <c r="K7" s="213">
        <v>93</v>
      </c>
      <c r="L7" s="213">
        <f t="shared" si="2"/>
        <v>92.25</v>
      </c>
      <c r="M7" s="214">
        <v>90</v>
      </c>
      <c r="N7" s="213">
        <v>91</v>
      </c>
      <c r="O7" s="213">
        <v>90</v>
      </c>
      <c r="P7" s="213">
        <v>91</v>
      </c>
      <c r="Q7" s="213">
        <f t="shared" si="3"/>
        <v>90.5</v>
      </c>
      <c r="R7" s="213">
        <v>93</v>
      </c>
      <c r="S7" s="213">
        <v>95</v>
      </c>
      <c r="T7" s="213">
        <v>89</v>
      </c>
      <c r="U7" s="213">
        <v>93</v>
      </c>
      <c r="V7" s="258"/>
      <c r="W7" s="213">
        <f t="shared" si="4"/>
        <v>91.388888888888886</v>
      </c>
      <c r="X7" s="213">
        <v>96</v>
      </c>
      <c r="Y7" s="213">
        <v>99</v>
      </c>
      <c r="Z7" s="213">
        <v>93</v>
      </c>
      <c r="AA7" s="213">
        <v>95</v>
      </c>
      <c r="AB7" s="213">
        <v>98</v>
      </c>
      <c r="AC7" s="213"/>
      <c r="AD7" s="213"/>
      <c r="AE7" s="213"/>
      <c r="AF7" s="213"/>
      <c r="AG7" s="257">
        <f t="shared" si="0"/>
        <v>96.2</v>
      </c>
      <c r="AH7" s="213">
        <v>92</v>
      </c>
      <c r="AI7" s="213">
        <v>90</v>
      </c>
      <c r="AJ7" s="213">
        <v>93</v>
      </c>
      <c r="AK7" s="213">
        <f t="shared" si="5"/>
        <v>91.666666666666671</v>
      </c>
      <c r="AL7" s="213">
        <v>96</v>
      </c>
      <c r="AM7" s="213">
        <v>94</v>
      </c>
      <c r="AN7" s="213"/>
      <c r="AO7" s="213"/>
      <c r="AP7" s="213"/>
      <c r="AQ7" s="213"/>
      <c r="AR7" s="213">
        <f t="shared" si="6"/>
        <v>91.666666666666671</v>
      </c>
      <c r="AS7" s="213">
        <f t="shared" si="7"/>
        <v>95</v>
      </c>
      <c r="AT7" s="279"/>
      <c r="AU7" s="213"/>
      <c r="AV7" s="213">
        <f t="shared" si="8"/>
        <v>91.666666666666671</v>
      </c>
      <c r="AW7" s="213">
        <f t="shared" si="8"/>
        <v>95</v>
      </c>
      <c r="AX7" s="213">
        <f t="shared" si="9"/>
        <v>93.333333333333343</v>
      </c>
    </row>
    <row r="8" spans="1:50" ht="18.75" customHeight="1">
      <c r="A8" s="147">
        <v>5</v>
      </c>
      <c r="B8" s="135" t="str">
        <f>VLOOKUP(A8,緊急聯絡!A$2:C$27,3,0)</f>
        <v>葉翃均</v>
      </c>
      <c r="C8" s="213">
        <v>92</v>
      </c>
      <c r="D8" s="213">
        <v>91</v>
      </c>
      <c r="E8" s="213">
        <v>94</v>
      </c>
      <c r="F8" s="213">
        <f t="shared" si="1"/>
        <v>92.333333333333329</v>
      </c>
      <c r="G8" s="213">
        <v>2</v>
      </c>
      <c r="H8" s="213">
        <v>86</v>
      </c>
      <c r="I8" s="213">
        <v>90</v>
      </c>
      <c r="J8" s="213">
        <v>86</v>
      </c>
      <c r="K8" s="213">
        <v>93</v>
      </c>
      <c r="L8" s="213">
        <f t="shared" si="2"/>
        <v>90.75</v>
      </c>
      <c r="M8" s="214">
        <v>90</v>
      </c>
      <c r="N8" s="213">
        <v>90</v>
      </c>
      <c r="O8" s="213">
        <v>90</v>
      </c>
      <c r="P8" s="213">
        <v>92</v>
      </c>
      <c r="Q8" s="213">
        <f t="shared" si="3"/>
        <v>90.5</v>
      </c>
      <c r="R8" s="213">
        <v>88</v>
      </c>
      <c r="S8" s="213">
        <v>90</v>
      </c>
      <c r="T8" s="213">
        <v>98</v>
      </c>
      <c r="U8" s="213">
        <v>88</v>
      </c>
      <c r="V8" s="258"/>
      <c r="W8" s="213">
        <f t="shared" si="4"/>
        <v>90.722222222222229</v>
      </c>
      <c r="X8" s="213">
        <v>97</v>
      </c>
      <c r="Y8" s="213">
        <v>93</v>
      </c>
      <c r="Z8" s="213">
        <v>95</v>
      </c>
      <c r="AA8" s="213">
        <v>94</v>
      </c>
      <c r="AB8" s="213">
        <v>94</v>
      </c>
      <c r="AC8" s="213"/>
      <c r="AD8" s="213"/>
      <c r="AE8" s="213"/>
      <c r="AF8" s="213"/>
      <c r="AG8" s="257">
        <f t="shared" si="0"/>
        <v>94.6</v>
      </c>
      <c r="AH8" s="213">
        <v>87</v>
      </c>
      <c r="AI8" s="213">
        <v>87</v>
      </c>
      <c r="AJ8" s="213">
        <v>92</v>
      </c>
      <c r="AK8" s="213">
        <f t="shared" si="5"/>
        <v>88.666666666666671</v>
      </c>
      <c r="AL8" s="213">
        <v>94</v>
      </c>
      <c r="AM8" s="213">
        <v>93</v>
      </c>
      <c r="AN8" s="213"/>
      <c r="AO8" s="213"/>
      <c r="AP8" s="213"/>
      <c r="AQ8" s="213"/>
      <c r="AR8" s="213">
        <f t="shared" si="6"/>
        <v>88.666666666666671</v>
      </c>
      <c r="AS8" s="213">
        <f t="shared" si="7"/>
        <v>93.5</v>
      </c>
      <c r="AT8" s="279"/>
      <c r="AU8" s="213"/>
      <c r="AV8" s="213">
        <f t="shared" si="8"/>
        <v>88.666666666666671</v>
      </c>
      <c r="AW8" s="213">
        <f t="shared" si="8"/>
        <v>93.5</v>
      </c>
      <c r="AX8" s="213">
        <f t="shared" si="9"/>
        <v>91.083333333333343</v>
      </c>
    </row>
    <row r="9" spans="1:50" ht="18.75" customHeight="1">
      <c r="A9" s="147">
        <v>6</v>
      </c>
      <c r="B9" s="135" t="str">
        <f>VLOOKUP(A9,緊急聯絡!A$2:C$27,3,0)</f>
        <v>王奕勳</v>
      </c>
      <c r="C9" s="213">
        <v>90</v>
      </c>
      <c r="D9" s="213">
        <v>90</v>
      </c>
      <c r="E9" s="213">
        <v>92</v>
      </c>
      <c r="F9" s="213">
        <f t="shared" si="1"/>
        <v>90.666666666666671</v>
      </c>
      <c r="G9" s="213">
        <v>1</v>
      </c>
      <c r="H9" s="213">
        <v>88</v>
      </c>
      <c r="I9" s="213">
        <v>90</v>
      </c>
      <c r="J9" s="213">
        <v>88</v>
      </c>
      <c r="K9" s="213">
        <v>93</v>
      </c>
      <c r="L9" s="213">
        <f t="shared" si="2"/>
        <v>90.75</v>
      </c>
      <c r="M9" s="214">
        <v>90</v>
      </c>
      <c r="N9" s="213">
        <v>85</v>
      </c>
      <c r="O9" s="213">
        <v>70</v>
      </c>
      <c r="P9" s="213">
        <v>92</v>
      </c>
      <c r="Q9" s="213">
        <f t="shared" si="3"/>
        <v>84.25</v>
      </c>
      <c r="R9" s="213">
        <v>90</v>
      </c>
      <c r="S9" s="213">
        <v>94</v>
      </c>
      <c r="T9" s="213">
        <v>95</v>
      </c>
      <c r="U9" s="213">
        <v>90</v>
      </c>
      <c r="V9" s="213"/>
      <c r="W9" s="213">
        <f t="shared" si="4"/>
        <v>87.805555555555557</v>
      </c>
      <c r="X9" s="213">
        <v>91</v>
      </c>
      <c r="Y9" s="213">
        <v>93</v>
      </c>
      <c r="Z9" s="213">
        <v>91</v>
      </c>
      <c r="AA9" s="213">
        <v>93</v>
      </c>
      <c r="AB9" s="213">
        <v>93</v>
      </c>
      <c r="AC9" s="213"/>
      <c r="AD9" s="213"/>
      <c r="AE9" s="213"/>
      <c r="AF9" s="213"/>
      <c r="AG9" s="257">
        <f t="shared" si="0"/>
        <v>92.2</v>
      </c>
      <c r="AH9" s="213">
        <v>88</v>
      </c>
      <c r="AI9" s="213">
        <v>90</v>
      </c>
      <c r="AJ9" s="213">
        <v>93</v>
      </c>
      <c r="AK9" s="213">
        <f t="shared" si="5"/>
        <v>90.333333333333329</v>
      </c>
      <c r="AL9" s="213">
        <v>92</v>
      </c>
      <c r="AM9" s="213">
        <v>93</v>
      </c>
      <c r="AN9" s="213"/>
      <c r="AO9" s="213"/>
      <c r="AP9" s="213"/>
      <c r="AQ9" s="213"/>
      <c r="AR9" s="213">
        <f t="shared" si="6"/>
        <v>90.333333333333329</v>
      </c>
      <c r="AS9" s="213">
        <f t="shared" si="7"/>
        <v>92.5</v>
      </c>
      <c r="AT9" s="279"/>
      <c r="AU9" s="213"/>
      <c r="AV9" s="213">
        <f t="shared" si="8"/>
        <v>90.333333333333329</v>
      </c>
      <c r="AW9" s="213">
        <f t="shared" si="8"/>
        <v>92.5</v>
      </c>
      <c r="AX9" s="213">
        <f t="shared" si="9"/>
        <v>91.416666666666657</v>
      </c>
    </row>
    <row r="10" spans="1:50" ht="18.75" customHeight="1">
      <c r="A10" s="147">
        <v>7</v>
      </c>
      <c r="B10" s="135" t="str">
        <f>VLOOKUP(A10,緊急聯絡!A$2:C$27,3,0)</f>
        <v>葉彥均</v>
      </c>
      <c r="C10" s="213">
        <v>92</v>
      </c>
      <c r="D10" s="213">
        <v>93</v>
      </c>
      <c r="E10" s="213">
        <v>93</v>
      </c>
      <c r="F10" s="213">
        <f t="shared" si="1"/>
        <v>92.666666666666671</v>
      </c>
      <c r="G10" s="213">
        <v>3</v>
      </c>
      <c r="H10" s="213">
        <v>92</v>
      </c>
      <c r="I10" s="213">
        <v>94</v>
      </c>
      <c r="J10" s="213">
        <v>93</v>
      </c>
      <c r="K10" s="213">
        <v>93</v>
      </c>
      <c r="L10" s="213">
        <f t="shared" si="2"/>
        <v>96</v>
      </c>
      <c r="M10" s="214">
        <v>93</v>
      </c>
      <c r="N10" s="213">
        <v>88</v>
      </c>
      <c r="O10" s="213">
        <v>96</v>
      </c>
      <c r="P10" s="213">
        <v>92</v>
      </c>
      <c r="Q10" s="213">
        <f t="shared" si="3"/>
        <v>92.25</v>
      </c>
      <c r="R10" s="213">
        <v>95</v>
      </c>
      <c r="S10" s="213">
        <v>97</v>
      </c>
      <c r="T10" s="213">
        <v>89</v>
      </c>
      <c r="U10" s="213">
        <v>93</v>
      </c>
      <c r="V10" s="213"/>
      <c r="W10" s="213">
        <f t="shared" si="4"/>
        <v>92.805555555555557</v>
      </c>
      <c r="X10" s="213">
        <v>96</v>
      </c>
      <c r="Y10" s="213">
        <v>95</v>
      </c>
      <c r="Z10" s="213">
        <v>93</v>
      </c>
      <c r="AA10" s="213">
        <v>95</v>
      </c>
      <c r="AB10" s="213">
        <v>93</v>
      </c>
      <c r="AC10" s="213"/>
      <c r="AD10" s="213"/>
      <c r="AE10" s="213"/>
      <c r="AF10" s="213"/>
      <c r="AG10" s="257">
        <f t="shared" si="0"/>
        <v>94.4</v>
      </c>
      <c r="AH10" s="213">
        <v>87</v>
      </c>
      <c r="AI10" s="213">
        <v>92</v>
      </c>
      <c r="AJ10" s="213">
        <v>91</v>
      </c>
      <c r="AK10" s="213">
        <f t="shared" si="5"/>
        <v>90</v>
      </c>
      <c r="AL10" s="213">
        <v>93</v>
      </c>
      <c r="AM10" s="213">
        <v>97</v>
      </c>
      <c r="AN10" s="213"/>
      <c r="AO10" s="213"/>
      <c r="AP10" s="213"/>
      <c r="AQ10" s="213"/>
      <c r="AR10" s="213">
        <f t="shared" si="6"/>
        <v>90</v>
      </c>
      <c r="AS10" s="213">
        <f t="shared" si="7"/>
        <v>95</v>
      </c>
      <c r="AT10" s="279"/>
      <c r="AU10" s="213"/>
      <c r="AV10" s="213">
        <f t="shared" si="8"/>
        <v>90</v>
      </c>
      <c r="AW10" s="213">
        <f t="shared" si="8"/>
        <v>95</v>
      </c>
      <c r="AX10" s="213">
        <f t="shared" si="9"/>
        <v>92.5</v>
      </c>
    </row>
    <row r="11" spans="1:50" ht="18.75" customHeight="1">
      <c r="A11" s="147">
        <v>8</v>
      </c>
      <c r="B11" s="135" t="str">
        <f>VLOOKUP(A11,緊急聯絡!A$2:C$27,3,0)</f>
        <v>洪楷珅</v>
      </c>
      <c r="C11" s="213">
        <v>85</v>
      </c>
      <c r="D11" s="213">
        <v>90</v>
      </c>
      <c r="E11" s="213">
        <v>92</v>
      </c>
      <c r="F11" s="213">
        <f t="shared" si="1"/>
        <v>89</v>
      </c>
      <c r="G11" s="213">
        <v>1</v>
      </c>
      <c r="H11" s="213">
        <v>88</v>
      </c>
      <c r="I11" s="213">
        <v>92</v>
      </c>
      <c r="J11" s="213">
        <v>88</v>
      </c>
      <c r="K11" s="213">
        <v>93</v>
      </c>
      <c r="L11" s="213">
        <f t="shared" si="2"/>
        <v>91.25</v>
      </c>
      <c r="M11" s="214">
        <v>90</v>
      </c>
      <c r="N11" s="213">
        <v>91</v>
      </c>
      <c r="O11" s="213">
        <v>88</v>
      </c>
      <c r="P11" s="213">
        <v>92</v>
      </c>
      <c r="Q11" s="213">
        <f t="shared" si="3"/>
        <v>90.25</v>
      </c>
      <c r="R11" s="213">
        <v>90</v>
      </c>
      <c r="S11" s="213">
        <v>92</v>
      </c>
      <c r="T11" s="213">
        <v>89</v>
      </c>
      <c r="U11" s="213">
        <v>88</v>
      </c>
      <c r="V11" s="213"/>
      <c r="W11" s="213">
        <f t="shared" si="4"/>
        <v>90.027777777777771</v>
      </c>
      <c r="X11" s="213">
        <v>97</v>
      </c>
      <c r="Y11" s="213">
        <v>93</v>
      </c>
      <c r="Z11" s="213">
        <v>96</v>
      </c>
      <c r="AA11" s="213">
        <v>94</v>
      </c>
      <c r="AB11" s="213">
        <v>95</v>
      </c>
      <c r="AC11" s="213"/>
      <c r="AD11" s="213"/>
      <c r="AE11" s="213"/>
      <c r="AF11" s="213"/>
      <c r="AG11" s="257">
        <f t="shared" si="0"/>
        <v>95</v>
      </c>
      <c r="AH11" s="213">
        <v>89</v>
      </c>
      <c r="AI11" s="213">
        <v>94</v>
      </c>
      <c r="AJ11" s="213">
        <v>96</v>
      </c>
      <c r="AK11" s="213">
        <f t="shared" si="5"/>
        <v>93</v>
      </c>
      <c r="AL11" s="213">
        <v>92</v>
      </c>
      <c r="AM11" s="213">
        <v>93</v>
      </c>
      <c r="AN11" s="213"/>
      <c r="AO11" s="213"/>
      <c r="AP11" s="213"/>
      <c r="AQ11" s="213"/>
      <c r="AR11" s="213">
        <f t="shared" si="6"/>
        <v>93</v>
      </c>
      <c r="AS11" s="213">
        <f t="shared" si="7"/>
        <v>92.5</v>
      </c>
      <c r="AT11" s="279"/>
      <c r="AU11" s="213"/>
      <c r="AV11" s="213">
        <f t="shared" si="8"/>
        <v>93</v>
      </c>
      <c r="AW11" s="213">
        <f t="shared" si="8"/>
        <v>92.5</v>
      </c>
      <c r="AX11" s="213">
        <f t="shared" si="9"/>
        <v>92.75</v>
      </c>
    </row>
    <row r="12" spans="1:50" ht="18.75" customHeight="1">
      <c r="A12" s="147">
        <v>9</v>
      </c>
      <c r="B12" s="135" t="str">
        <f>VLOOKUP(A12,緊急聯絡!A$2:C$27,3,0)</f>
        <v>吳承哲</v>
      </c>
      <c r="C12" s="213">
        <v>87</v>
      </c>
      <c r="D12" s="213">
        <v>90</v>
      </c>
      <c r="E12" s="213">
        <v>95</v>
      </c>
      <c r="F12" s="213">
        <f t="shared" si="1"/>
        <v>90.666666666666671</v>
      </c>
      <c r="G12" s="213">
        <v>3</v>
      </c>
      <c r="H12" s="213">
        <v>95</v>
      </c>
      <c r="I12" s="213">
        <v>94</v>
      </c>
      <c r="J12" s="213">
        <v>90</v>
      </c>
      <c r="K12" s="213">
        <v>93</v>
      </c>
      <c r="L12" s="213">
        <f t="shared" si="2"/>
        <v>96</v>
      </c>
      <c r="M12" s="214">
        <v>94</v>
      </c>
      <c r="N12" s="213">
        <v>92</v>
      </c>
      <c r="O12" s="213">
        <v>90</v>
      </c>
      <c r="P12" s="213">
        <v>92</v>
      </c>
      <c r="Q12" s="213">
        <f t="shared" si="3"/>
        <v>92</v>
      </c>
      <c r="R12" s="213">
        <v>95</v>
      </c>
      <c r="S12" s="213">
        <v>91</v>
      </c>
      <c r="T12" s="213">
        <v>89</v>
      </c>
      <c r="U12" s="213">
        <v>93</v>
      </c>
      <c r="V12" s="213"/>
      <c r="W12" s="213">
        <f t="shared" si="4"/>
        <v>92</v>
      </c>
      <c r="X12" s="213">
        <v>92</v>
      </c>
      <c r="Y12" s="213">
        <v>93</v>
      </c>
      <c r="Z12" s="213">
        <v>91</v>
      </c>
      <c r="AA12" s="213">
        <v>94</v>
      </c>
      <c r="AB12" s="213">
        <v>92</v>
      </c>
      <c r="AC12" s="213"/>
      <c r="AD12" s="213"/>
      <c r="AE12" s="213"/>
      <c r="AF12" s="213"/>
      <c r="AG12" s="257">
        <f t="shared" si="0"/>
        <v>92.4</v>
      </c>
      <c r="AH12" s="213">
        <v>90</v>
      </c>
      <c r="AI12" s="213">
        <v>90</v>
      </c>
      <c r="AJ12" s="213">
        <v>94</v>
      </c>
      <c r="AK12" s="213">
        <f t="shared" si="5"/>
        <v>91.333333333333329</v>
      </c>
      <c r="AL12" s="213">
        <v>92</v>
      </c>
      <c r="AM12" s="213">
        <v>92</v>
      </c>
      <c r="AN12" s="213"/>
      <c r="AO12" s="213"/>
      <c r="AP12" s="213"/>
      <c r="AQ12" s="213"/>
      <c r="AR12" s="213">
        <f t="shared" si="6"/>
        <v>91.333333333333329</v>
      </c>
      <c r="AS12" s="213">
        <f t="shared" si="7"/>
        <v>92</v>
      </c>
      <c r="AT12" s="279"/>
      <c r="AU12" s="213"/>
      <c r="AV12" s="213">
        <f t="shared" si="8"/>
        <v>91.333333333333329</v>
      </c>
      <c r="AW12" s="213">
        <f t="shared" si="8"/>
        <v>92</v>
      </c>
      <c r="AX12" s="213">
        <f t="shared" si="9"/>
        <v>91.666666666666657</v>
      </c>
    </row>
    <row r="13" spans="1:50" ht="18.75" customHeight="1">
      <c r="A13" s="147">
        <v>10</v>
      </c>
      <c r="B13" s="135" t="str">
        <f>VLOOKUP(A13,緊急聯絡!A$2:C$27,3,0)</f>
        <v>李宥霆</v>
      </c>
      <c r="C13" s="213">
        <v>86</v>
      </c>
      <c r="D13" s="213">
        <v>88</v>
      </c>
      <c r="E13" s="213">
        <v>91</v>
      </c>
      <c r="F13" s="213">
        <f>AVERAGE(C13:E13)</f>
        <v>88.333333333333329</v>
      </c>
      <c r="G13" s="213">
        <v>1</v>
      </c>
      <c r="H13" s="213">
        <v>86</v>
      </c>
      <c r="I13" s="213">
        <v>90</v>
      </c>
      <c r="J13" s="213">
        <v>90</v>
      </c>
      <c r="K13" s="213">
        <v>93</v>
      </c>
      <c r="L13" s="213">
        <f t="shared" si="2"/>
        <v>90.75</v>
      </c>
      <c r="M13" s="214">
        <v>91</v>
      </c>
      <c r="N13" s="213">
        <v>85</v>
      </c>
      <c r="O13" s="213">
        <v>85</v>
      </c>
      <c r="P13" s="213">
        <v>90</v>
      </c>
      <c r="Q13" s="213">
        <f t="shared" si="3"/>
        <v>87.75</v>
      </c>
      <c r="R13" s="213">
        <v>90</v>
      </c>
      <c r="S13" s="213">
        <v>90</v>
      </c>
      <c r="T13" s="213">
        <v>89</v>
      </c>
      <c r="U13" s="213">
        <v>88</v>
      </c>
      <c r="V13" s="213"/>
      <c r="W13" s="213">
        <f t="shared" si="4"/>
        <v>88.416666666666671</v>
      </c>
      <c r="X13" s="213">
        <v>88</v>
      </c>
      <c r="Y13" s="213">
        <v>93</v>
      </c>
      <c r="Z13" s="213">
        <v>88</v>
      </c>
      <c r="AA13" s="213">
        <v>94</v>
      </c>
      <c r="AB13" s="213">
        <v>97</v>
      </c>
      <c r="AC13" s="213"/>
      <c r="AD13" s="213"/>
      <c r="AE13" s="213"/>
      <c r="AF13" s="213"/>
      <c r="AG13" s="257">
        <f t="shared" si="0"/>
        <v>92</v>
      </c>
      <c r="AH13" s="213">
        <v>88</v>
      </c>
      <c r="AI13" s="213">
        <v>90</v>
      </c>
      <c r="AJ13" s="213">
        <v>92</v>
      </c>
      <c r="AK13" s="213">
        <f t="shared" si="5"/>
        <v>90</v>
      </c>
      <c r="AL13" s="213">
        <v>94</v>
      </c>
      <c r="AM13" s="213">
        <v>95</v>
      </c>
      <c r="AN13" s="213"/>
      <c r="AO13" s="213"/>
      <c r="AP13" s="213"/>
      <c r="AQ13" s="213"/>
      <c r="AR13" s="213">
        <f t="shared" si="6"/>
        <v>90</v>
      </c>
      <c r="AS13" s="213">
        <f t="shared" si="7"/>
        <v>94.5</v>
      </c>
      <c r="AT13" s="279"/>
      <c r="AU13" s="213"/>
      <c r="AV13" s="213">
        <f t="shared" si="8"/>
        <v>90</v>
      </c>
      <c r="AW13" s="213">
        <f t="shared" si="8"/>
        <v>94.5</v>
      </c>
      <c r="AX13" s="213">
        <f t="shared" si="9"/>
        <v>92.25</v>
      </c>
    </row>
    <row r="14" spans="1:50" ht="18.75" customHeight="1">
      <c r="A14" s="147">
        <v>11</v>
      </c>
      <c r="B14" s="135" t="str">
        <f>VLOOKUP(A14,緊急聯絡!A$2:C$27,3,0)</f>
        <v>柯皓哲</v>
      </c>
      <c r="C14" s="213">
        <v>89</v>
      </c>
      <c r="D14" s="213">
        <v>88</v>
      </c>
      <c r="E14" s="213">
        <v>92</v>
      </c>
      <c r="F14" s="213">
        <f t="shared" si="1"/>
        <v>89.666666666666671</v>
      </c>
      <c r="G14" s="213">
        <v>2</v>
      </c>
      <c r="H14" s="213">
        <v>90</v>
      </c>
      <c r="I14" s="213">
        <v>91</v>
      </c>
      <c r="J14" s="213">
        <v>94</v>
      </c>
      <c r="K14" s="213">
        <v>93</v>
      </c>
      <c r="L14" s="213">
        <f t="shared" si="2"/>
        <v>94</v>
      </c>
      <c r="M14" s="214">
        <v>92</v>
      </c>
      <c r="N14" s="213">
        <v>85</v>
      </c>
      <c r="O14" s="213">
        <v>88</v>
      </c>
      <c r="P14" s="213">
        <v>91</v>
      </c>
      <c r="Q14" s="213">
        <f t="shared" si="3"/>
        <v>89</v>
      </c>
      <c r="R14" s="213">
        <v>91</v>
      </c>
      <c r="S14" s="213">
        <v>92</v>
      </c>
      <c r="T14" s="213">
        <v>89</v>
      </c>
      <c r="U14" s="213">
        <v>93</v>
      </c>
      <c r="V14" s="213"/>
      <c r="W14" s="213">
        <f t="shared" si="4"/>
        <v>90</v>
      </c>
      <c r="X14" s="213">
        <v>95</v>
      </c>
      <c r="Y14" s="213">
        <v>94</v>
      </c>
      <c r="Z14" s="213">
        <v>89</v>
      </c>
      <c r="AA14" s="213">
        <v>95</v>
      </c>
      <c r="AB14" s="213">
        <v>97</v>
      </c>
      <c r="AC14" s="213"/>
      <c r="AD14" s="213"/>
      <c r="AE14" s="213"/>
      <c r="AF14" s="213"/>
      <c r="AG14" s="257">
        <f t="shared" si="0"/>
        <v>94</v>
      </c>
      <c r="AH14" s="213">
        <v>90</v>
      </c>
      <c r="AI14" s="213">
        <v>93</v>
      </c>
      <c r="AJ14" s="213">
        <v>94</v>
      </c>
      <c r="AK14" s="213">
        <f t="shared" si="5"/>
        <v>92.333333333333329</v>
      </c>
      <c r="AL14" s="213">
        <v>92</v>
      </c>
      <c r="AM14" s="213">
        <v>94</v>
      </c>
      <c r="AN14" s="213"/>
      <c r="AO14" s="213"/>
      <c r="AP14" s="213"/>
      <c r="AQ14" s="213"/>
      <c r="AR14" s="213">
        <f t="shared" si="6"/>
        <v>92.333333333333329</v>
      </c>
      <c r="AS14" s="213">
        <f t="shared" si="7"/>
        <v>93</v>
      </c>
      <c r="AT14" s="279"/>
      <c r="AU14" s="213"/>
      <c r="AV14" s="213">
        <f t="shared" si="8"/>
        <v>92.333333333333329</v>
      </c>
      <c r="AW14" s="213">
        <f t="shared" si="8"/>
        <v>93</v>
      </c>
      <c r="AX14" s="213">
        <f t="shared" si="9"/>
        <v>92.666666666666657</v>
      </c>
    </row>
    <row r="15" spans="1:50" ht="18.75" customHeight="1">
      <c r="A15" s="147">
        <v>12</v>
      </c>
      <c r="B15" s="135" t="str">
        <f>VLOOKUP(A15,緊急聯絡!A$2:C$27,3,0)</f>
        <v>魏宇謙</v>
      </c>
      <c r="C15" s="213">
        <v>92</v>
      </c>
      <c r="D15" s="213">
        <v>88</v>
      </c>
      <c r="E15" s="213">
        <v>91</v>
      </c>
      <c r="F15" s="213">
        <f t="shared" si="1"/>
        <v>90.333333333333329</v>
      </c>
      <c r="G15" s="213">
        <v>1</v>
      </c>
      <c r="H15" s="213">
        <v>88</v>
      </c>
      <c r="I15" s="213">
        <v>92</v>
      </c>
      <c r="J15" s="213">
        <v>88</v>
      </c>
      <c r="K15" s="213">
        <v>93</v>
      </c>
      <c r="L15" s="213">
        <f t="shared" si="2"/>
        <v>91.25</v>
      </c>
      <c r="M15" s="214">
        <v>92</v>
      </c>
      <c r="N15" s="213">
        <v>90</v>
      </c>
      <c r="O15" s="213">
        <v>92</v>
      </c>
      <c r="P15" s="213">
        <v>92</v>
      </c>
      <c r="Q15" s="213">
        <f t="shared" si="3"/>
        <v>91.5</v>
      </c>
      <c r="R15" s="213">
        <v>92</v>
      </c>
      <c r="S15" s="213">
        <v>92</v>
      </c>
      <c r="T15" s="213">
        <v>89</v>
      </c>
      <c r="U15" s="213">
        <v>93</v>
      </c>
      <c r="V15" s="213"/>
      <c r="W15" s="213">
        <f t="shared" si="4"/>
        <v>91.5</v>
      </c>
      <c r="X15" s="213">
        <v>95</v>
      </c>
      <c r="Y15" s="213">
        <v>97</v>
      </c>
      <c r="Z15" s="213">
        <v>91</v>
      </c>
      <c r="AA15" s="213">
        <v>94</v>
      </c>
      <c r="AB15" s="213">
        <v>96</v>
      </c>
      <c r="AC15" s="213"/>
      <c r="AD15" s="213"/>
      <c r="AE15" s="213"/>
      <c r="AF15" s="213"/>
      <c r="AG15" s="257">
        <f t="shared" si="0"/>
        <v>94.6</v>
      </c>
      <c r="AH15" s="213">
        <v>90</v>
      </c>
      <c r="AI15" s="213">
        <v>91</v>
      </c>
      <c r="AJ15" s="213">
        <v>91</v>
      </c>
      <c r="AK15" s="213">
        <f t="shared" si="5"/>
        <v>90.666666666666671</v>
      </c>
      <c r="AL15" s="213">
        <v>95</v>
      </c>
      <c r="AM15" s="213">
        <v>94</v>
      </c>
      <c r="AN15" s="213"/>
      <c r="AO15" s="213"/>
      <c r="AP15" s="213"/>
      <c r="AQ15" s="213"/>
      <c r="AR15" s="213">
        <f t="shared" si="6"/>
        <v>90.666666666666671</v>
      </c>
      <c r="AS15" s="213">
        <f t="shared" si="7"/>
        <v>94.5</v>
      </c>
      <c r="AT15" s="279"/>
      <c r="AU15" s="213"/>
      <c r="AV15" s="213">
        <f t="shared" si="8"/>
        <v>90.666666666666671</v>
      </c>
      <c r="AW15" s="213">
        <f t="shared" si="8"/>
        <v>94.5</v>
      </c>
      <c r="AX15" s="213">
        <f t="shared" si="9"/>
        <v>92.583333333333343</v>
      </c>
    </row>
    <row r="16" spans="1:50" ht="18.75" customHeight="1">
      <c r="A16" s="147">
        <v>13</v>
      </c>
      <c r="B16" s="135" t="str">
        <f>VLOOKUP(A16,緊急聯絡!A$2:C$27,3,0)</f>
        <v>林季曄</v>
      </c>
      <c r="C16" s="213">
        <v>96</v>
      </c>
      <c r="D16" s="213">
        <v>92</v>
      </c>
      <c r="E16" s="213">
        <v>88</v>
      </c>
      <c r="F16" s="213">
        <f t="shared" si="1"/>
        <v>92</v>
      </c>
      <c r="G16" s="213">
        <v>3</v>
      </c>
      <c r="H16" s="213">
        <v>91</v>
      </c>
      <c r="I16" s="213">
        <v>95</v>
      </c>
      <c r="J16" s="213">
        <v>94</v>
      </c>
      <c r="K16" s="213">
        <v>93</v>
      </c>
      <c r="L16" s="213">
        <f t="shared" si="2"/>
        <v>96.25</v>
      </c>
      <c r="M16" s="214">
        <v>94</v>
      </c>
      <c r="N16" s="213">
        <v>96</v>
      </c>
      <c r="O16" s="213">
        <v>94</v>
      </c>
      <c r="P16" s="213">
        <v>94</v>
      </c>
      <c r="Q16" s="213">
        <f t="shared" si="3"/>
        <v>94.5</v>
      </c>
      <c r="R16" s="213">
        <v>92</v>
      </c>
      <c r="S16" s="213">
        <v>96</v>
      </c>
      <c r="T16" s="213">
        <v>90</v>
      </c>
      <c r="U16" s="213">
        <v>94</v>
      </c>
      <c r="V16" s="213"/>
      <c r="W16" s="213">
        <f t="shared" si="4"/>
        <v>93.833333333333329</v>
      </c>
      <c r="X16" s="213">
        <v>98</v>
      </c>
      <c r="Y16" s="213">
        <v>92</v>
      </c>
      <c r="Z16" s="213">
        <v>95</v>
      </c>
      <c r="AA16" s="213">
        <v>94</v>
      </c>
      <c r="AB16" s="213">
        <v>98</v>
      </c>
      <c r="AC16" s="213"/>
      <c r="AD16" s="213"/>
      <c r="AE16" s="213"/>
      <c r="AF16" s="213"/>
      <c r="AG16" s="257">
        <f t="shared" si="0"/>
        <v>95.4</v>
      </c>
      <c r="AH16" s="213">
        <v>91</v>
      </c>
      <c r="AI16" s="213">
        <v>92</v>
      </c>
      <c r="AJ16" s="213">
        <v>96</v>
      </c>
      <c r="AK16" s="213">
        <f t="shared" si="5"/>
        <v>93</v>
      </c>
      <c r="AL16" s="213">
        <v>94</v>
      </c>
      <c r="AM16" s="213">
        <v>94</v>
      </c>
      <c r="AN16" s="213"/>
      <c r="AO16" s="213"/>
      <c r="AP16" s="213"/>
      <c r="AQ16" s="213"/>
      <c r="AR16" s="213">
        <f t="shared" si="6"/>
        <v>93</v>
      </c>
      <c r="AS16" s="213">
        <f t="shared" si="7"/>
        <v>94</v>
      </c>
      <c r="AT16" s="279"/>
      <c r="AU16" s="213"/>
      <c r="AV16" s="213">
        <f t="shared" si="8"/>
        <v>93</v>
      </c>
      <c r="AW16" s="213">
        <f t="shared" si="8"/>
        <v>94</v>
      </c>
      <c r="AX16" s="213">
        <f t="shared" si="9"/>
        <v>93.5</v>
      </c>
    </row>
    <row r="17" spans="1:50" ht="18.75" customHeight="1">
      <c r="A17" s="147">
        <v>14</v>
      </c>
      <c r="B17" s="135" t="str">
        <f>VLOOKUP(A17,緊急聯絡!A$2:C$27,3,0)</f>
        <v>高翊庭</v>
      </c>
      <c r="C17" s="213">
        <v>97</v>
      </c>
      <c r="D17" s="213">
        <v>92</v>
      </c>
      <c r="E17" s="213">
        <v>91</v>
      </c>
      <c r="F17" s="213">
        <f t="shared" si="1"/>
        <v>93.333333333333329</v>
      </c>
      <c r="G17" s="213">
        <v>3</v>
      </c>
      <c r="H17" s="213">
        <v>97</v>
      </c>
      <c r="I17" s="213">
        <v>90</v>
      </c>
      <c r="J17" s="213">
        <v>93</v>
      </c>
      <c r="K17" s="213">
        <v>93</v>
      </c>
      <c r="L17" s="213">
        <f t="shared" si="2"/>
        <v>96.25</v>
      </c>
      <c r="M17" s="214">
        <v>95</v>
      </c>
      <c r="N17" s="213">
        <v>94</v>
      </c>
      <c r="O17" s="213">
        <v>94</v>
      </c>
      <c r="P17" s="213">
        <v>94</v>
      </c>
      <c r="Q17" s="213">
        <f t="shared" si="3"/>
        <v>94.25</v>
      </c>
      <c r="R17" s="213">
        <v>92</v>
      </c>
      <c r="S17" s="213">
        <v>98</v>
      </c>
      <c r="T17" s="213">
        <v>93</v>
      </c>
      <c r="U17" s="213">
        <v>92</v>
      </c>
      <c r="V17" s="213"/>
      <c r="W17" s="213">
        <f t="shared" si="4"/>
        <v>94.027777777777771</v>
      </c>
      <c r="X17" s="213">
        <v>97</v>
      </c>
      <c r="Y17" s="213">
        <v>88</v>
      </c>
      <c r="Z17" s="213">
        <v>95</v>
      </c>
      <c r="AA17" s="213">
        <v>94</v>
      </c>
      <c r="AB17" s="213">
        <v>97</v>
      </c>
      <c r="AC17" s="213"/>
      <c r="AD17" s="213"/>
      <c r="AE17" s="213"/>
      <c r="AF17" s="213"/>
      <c r="AG17" s="257">
        <f t="shared" si="0"/>
        <v>94.2</v>
      </c>
      <c r="AH17" s="213">
        <v>93</v>
      </c>
      <c r="AI17" s="213">
        <v>95</v>
      </c>
      <c r="AJ17" s="213">
        <v>94</v>
      </c>
      <c r="AK17" s="213">
        <f t="shared" si="5"/>
        <v>94</v>
      </c>
      <c r="AL17" s="213">
        <v>93</v>
      </c>
      <c r="AM17" s="213">
        <v>95</v>
      </c>
      <c r="AN17" s="213"/>
      <c r="AO17" s="213"/>
      <c r="AP17" s="213"/>
      <c r="AQ17" s="213"/>
      <c r="AR17" s="213">
        <f t="shared" si="6"/>
        <v>94</v>
      </c>
      <c r="AS17" s="213">
        <f t="shared" si="7"/>
        <v>94</v>
      </c>
      <c r="AT17" s="279"/>
      <c r="AU17" s="213"/>
      <c r="AV17" s="213">
        <f t="shared" si="8"/>
        <v>94</v>
      </c>
      <c r="AW17" s="213">
        <f t="shared" si="8"/>
        <v>94</v>
      </c>
      <c r="AX17" s="213">
        <f t="shared" si="9"/>
        <v>94</v>
      </c>
    </row>
    <row r="18" spans="1:50" ht="18.75" customHeight="1">
      <c r="A18" s="147">
        <v>15</v>
      </c>
      <c r="B18" s="135" t="str">
        <f>VLOOKUP(A18,緊急聯絡!A$2:C$27,3,0)</f>
        <v>藍彩華</v>
      </c>
      <c r="C18" s="213">
        <v>96</v>
      </c>
      <c r="D18" s="213">
        <v>92</v>
      </c>
      <c r="E18" s="213">
        <v>93</v>
      </c>
      <c r="F18" s="213">
        <f t="shared" si="1"/>
        <v>93.666666666666671</v>
      </c>
      <c r="G18" s="213">
        <v>3</v>
      </c>
      <c r="H18" s="213">
        <v>90</v>
      </c>
      <c r="I18" s="213">
        <v>92</v>
      </c>
      <c r="J18" s="213">
        <v>92</v>
      </c>
      <c r="K18" s="213">
        <v>93</v>
      </c>
      <c r="L18" s="213">
        <f t="shared" si="2"/>
        <v>94.75</v>
      </c>
      <c r="M18" s="214">
        <v>94</v>
      </c>
      <c r="N18" s="213">
        <v>91</v>
      </c>
      <c r="O18" s="213">
        <v>89</v>
      </c>
      <c r="P18" s="213">
        <v>93</v>
      </c>
      <c r="Q18" s="213">
        <f t="shared" si="3"/>
        <v>91.75</v>
      </c>
      <c r="R18" s="213">
        <v>91</v>
      </c>
      <c r="S18" s="213">
        <v>96</v>
      </c>
      <c r="T18" s="213">
        <v>89</v>
      </c>
      <c r="U18" s="213">
        <v>94</v>
      </c>
      <c r="V18" s="213"/>
      <c r="W18" s="213">
        <f t="shared" si="4"/>
        <v>92.083333333333329</v>
      </c>
      <c r="X18" s="213">
        <v>98</v>
      </c>
      <c r="Y18" s="213">
        <v>88</v>
      </c>
      <c r="Z18" s="213">
        <v>94</v>
      </c>
      <c r="AA18" s="213">
        <v>96</v>
      </c>
      <c r="AB18" s="213">
        <v>97</v>
      </c>
      <c r="AC18" s="213"/>
      <c r="AD18" s="213"/>
      <c r="AE18" s="213"/>
      <c r="AF18" s="213"/>
      <c r="AG18" s="257">
        <f t="shared" si="0"/>
        <v>94.6</v>
      </c>
      <c r="AH18" s="213">
        <v>91</v>
      </c>
      <c r="AI18" s="213">
        <v>93</v>
      </c>
      <c r="AJ18" s="213">
        <v>94</v>
      </c>
      <c r="AK18" s="213">
        <f t="shared" si="5"/>
        <v>92.666666666666671</v>
      </c>
      <c r="AL18" s="213">
        <v>94</v>
      </c>
      <c r="AM18" s="213">
        <v>93</v>
      </c>
      <c r="AN18" s="213"/>
      <c r="AO18" s="213"/>
      <c r="AP18" s="213"/>
      <c r="AQ18" s="213"/>
      <c r="AR18" s="213">
        <f t="shared" si="6"/>
        <v>92.666666666666671</v>
      </c>
      <c r="AS18" s="213">
        <f t="shared" si="7"/>
        <v>93.5</v>
      </c>
      <c r="AT18" s="279">
        <v>97</v>
      </c>
      <c r="AU18" s="213"/>
      <c r="AV18" s="213">
        <f t="shared" si="8"/>
        <v>94.833333333333343</v>
      </c>
      <c r="AW18" s="213">
        <f t="shared" si="8"/>
        <v>93.5</v>
      </c>
      <c r="AX18" s="213">
        <f t="shared" si="9"/>
        <v>94.166666666666671</v>
      </c>
    </row>
    <row r="19" spans="1:50" ht="18.75" customHeight="1">
      <c r="A19" s="147">
        <v>16</v>
      </c>
      <c r="B19" s="135" t="str">
        <f>VLOOKUP(A19,緊急聯絡!A$2:C$27,3,0)</f>
        <v>曾琛晞</v>
      </c>
      <c r="C19" s="213">
        <v>96</v>
      </c>
      <c r="D19" s="213">
        <v>92</v>
      </c>
      <c r="E19" s="213">
        <v>95</v>
      </c>
      <c r="F19" s="213">
        <f t="shared" si="1"/>
        <v>94.333333333333329</v>
      </c>
      <c r="G19" s="213">
        <v>3</v>
      </c>
      <c r="H19" s="213">
        <v>88</v>
      </c>
      <c r="I19" s="213">
        <v>95</v>
      </c>
      <c r="J19" s="213">
        <v>94</v>
      </c>
      <c r="K19" s="213">
        <v>93</v>
      </c>
      <c r="L19" s="213">
        <f t="shared" si="2"/>
        <v>95.5</v>
      </c>
      <c r="M19" s="214">
        <v>93</v>
      </c>
      <c r="N19" s="213">
        <v>92</v>
      </c>
      <c r="O19" s="213">
        <v>92</v>
      </c>
      <c r="P19" s="213">
        <v>92</v>
      </c>
      <c r="Q19" s="213">
        <f t="shared" si="3"/>
        <v>92.25</v>
      </c>
      <c r="R19" s="213">
        <v>93</v>
      </c>
      <c r="S19" s="213">
        <v>96</v>
      </c>
      <c r="T19" s="213">
        <v>89</v>
      </c>
      <c r="U19" s="213">
        <v>92</v>
      </c>
      <c r="V19" s="213"/>
      <c r="W19" s="213">
        <f t="shared" si="4"/>
        <v>92.361111111111114</v>
      </c>
      <c r="X19" s="213">
        <v>95</v>
      </c>
      <c r="Y19" s="213">
        <v>93</v>
      </c>
      <c r="Z19" s="213">
        <v>97</v>
      </c>
      <c r="AA19" s="213">
        <v>97</v>
      </c>
      <c r="AB19" s="213">
        <v>96</v>
      </c>
      <c r="AC19" s="213"/>
      <c r="AD19" s="213"/>
      <c r="AE19" s="213"/>
      <c r="AF19" s="213"/>
      <c r="AG19" s="257">
        <f t="shared" si="0"/>
        <v>95.6</v>
      </c>
      <c r="AH19" s="213">
        <v>93</v>
      </c>
      <c r="AI19" s="213">
        <v>93</v>
      </c>
      <c r="AJ19" s="213">
        <v>94</v>
      </c>
      <c r="AK19" s="213">
        <f t="shared" si="5"/>
        <v>93.333333333333329</v>
      </c>
      <c r="AL19" s="213">
        <v>92</v>
      </c>
      <c r="AM19" s="213">
        <v>93</v>
      </c>
      <c r="AN19" s="213"/>
      <c r="AO19" s="213"/>
      <c r="AP19" s="213"/>
      <c r="AQ19" s="213"/>
      <c r="AR19" s="213">
        <f t="shared" si="6"/>
        <v>93.333333333333329</v>
      </c>
      <c r="AS19" s="213">
        <f t="shared" si="7"/>
        <v>92.5</v>
      </c>
      <c r="AT19" s="279"/>
      <c r="AU19" s="213"/>
      <c r="AV19" s="213">
        <f t="shared" si="8"/>
        <v>93.333333333333329</v>
      </c>
      <c r="AW19" s="213">
        <f t="shared" si="8"/>
        <v>92.5</v>
      </c>
      <c r="AX19" s="213">
        <f t="shared" si="9"/>
        <v>92.916666666666657</v>
      </c>
    </row>
    <row r="20" spans="1:50" ht="18.75" customHeight="1">
      <c r="A20" s="147">
        <v>17</v>
      </c>
      <c r="B20" s="135" t="str">
        <f>VLOOKUP(A20,緊急聯絡!A$2:C$27,3,0)</f>
        <v>張智函</v>
      </c>
      <c r="C20" s="213">
        <v>88</v>
      </c>
      <c r="D20" s="213">
        <v>86</v>
      </c>
      <c r="E20" s="213">
        <v>95</v>
      </c>
      <c r="F20" s="213">
        <f t="shared" si="1"/>
        <v>89.666666666666671</v>
      </c>
      <c r="G20" s="213">
        <v>3</v>
      </c>
      <c r="H20" s="213">
        <v>90</v>
      </c>
      <c r="I20" s="213">
        <v>90</v>
      </c>
      <c r="J20" s="213">
        <v>94</v>
      </c>
      <c r="K20" s="213">
        <v>93</v>
      </c>
      <c r="L20" s="213">
        <f t="shared" si="2"/>
        <v>94.75</v>
      </c>
      <c r="M20" s="214">
        <v>94</v>
      </c>
      <c r="N20" s="213">
        <v>92</v>
      </c>
      <c r="O20" s="213">
        <v>92</v>
      </c>
      <c r="P20" s="213">
        <v>94</v>
      </c>
      <c r="Q20" s="213">
        <f t="shared" si="3"/>
        <v>93</v>
      </c>
      <c r="R20" s="213">
        <v>92</v>
      </c>
      <c r="S20" s="213">
        <v>95</v>
      </c>
      <c r="T20" s="213">
        <v>92</v>
      </c>
      <c r="U20" s="213">
        <v>93</v>
      </c>
      <c r="V20" s="213"/>
      <c r="W20" s="213">
        <f t="shared" si="4"/>
        <v>93</v>
      </c>
      <c r="X20" s="213">
        <v>98</v>
      </c>
      <c r="Y20" s="213">
        <v>92</v>
      </c>
      <c r="Z20" s="213">
        <v>95</v>
      </c>
      <c r="AA20" s="213">
        <v>94</v>
      </c>
      <c r="AB20" s="213">
        <v>98</v>
      </c>
      <c r="AC20" s="213"/>
      <c r="AD20" s="213"/>
      <c r="AE20" s="213"/>
      <c r="AF20" s="213"/>
      <c r="AG20" s="257">
        <f t="shared" si="0"/>
        <v>95.4</v>
      </c>
      <c r="AH20" s="213">
        <v>93</v>
      </c>
      <c r="AI20" s="213">
        <v>92</v>
      </c>
      <c r="AJ20" s="213">
        <v>93</v>
      </c>
      <c r="AK20" s="213">
        <f t="shared" si="5"/>
        <v>92.666666666666671</v>
      </c>
      <c r="AL20" s="213">
        <v>91</v>
      </c>
      <c r="AM20" s="213">
        <v>92</v>
      </c>
      <c r="AN20" s="213"/>
      <c r="AO20" s="213"/>
      <c r="AP20" s="213"/>
      <c r="AQ20" s="213"/>
      <c r="AR20" s="213">
        <f t="shared" si="6"/>
        <v>92.666666666666671</v>
      </c>
      <c r="AS20" s="213">
        <f t="shared" si="7"/>
        <v>91.5</v>
      </c>
      <c r="AT20" s="279"/>
      <c r="AU20" s="213"/>
      <c r="AV20" s="213">
        <f t="shared" si="8"/>
        <v>92.666666666666671</v>
      </c>
      <c r="AW20" s="213">
        <f t="shared" si="8"/>
        <v>91.5</v>
      </c>
      <c r="AX20" s="213">
        <f t="shared" si="9"/>
        <v>92.083333333333343</v>
      </c>
    </row>
    <row r="21" spans="1:50" ht="18.75" customHeight="1">
      <c r="A21" s="147">
        <v>18</v>
      </c>
      <c r="B21" s="135" t="str">
        <f>VLOOKUP(A21,緊急聯絡!A$2:C$27,3,0)</f>
        <v>許凌菲</v>
      </c>
      <c r="C21" s="213">
        <v>94</v>
      </c>
      <c r="D21" s="213">
        <v>94</v>
      </c>
      <c r="E21" s="213">
        <v>96</v>
      </c>
      <c r="F21" s="213">
        <f t="shared" si="1"/>
        <v>94.666666666666671</v>
      </c>
      <c r="G21" s="213">
        <v>3</v>
      </c>
      <c r="H21" s="213">
        <v>93</v>
      </c>
      <c r="I21" s="213">
        <v>93</v>
      </c>
      <c r="J21" s="213">
        <v>96</v>
      </c>
      <c r="K21" s="213">
        <v>93</v>
      </c>
      <c r="L21" s="213">
        <f t="shared" si="2"/>
        <v>96.75</v>
      </c>
      <c r="M21" s="214">
        <v>92</v>
      </c>
      <c r="N21" s="213">
        <v>92</v>
      </c>
      <c r="O21" s="213">
        <v>91</v>
      </c>
      <c r="P21" s="213">
        <v>94</v>
      </c>
      <c r="Q21" s="213">
        <f t="shared" si="3"/>
        <v>92.25</v>
      </c>
      <c r="R21" s="213">
        <v>94</v>
      </c>
      <c r="S21" s="213">
        <v>95</v>
      </c>
      <c r="T21" s="213">
        <v>92</v>
      </c>
      <c r="U21" s="213">
        <v>94</v>
      </c>
      <c r="V21" s="213"/>
      <c r="W21" s="213">
        <f t="shared" si="4"/>
        <v>92.916666666666671</v>
      </c>
      <c r="X21" s="213">
        <v>97</v>
      </c>
      <c r="Y21" s="213">
        <v>87</v>
      </c>
      <c r="Z21" s="213">
        <v>95</v>
      </c>
      <c r="AA21" s="213">
        <v>95</v>
      </c>
      <c r="AB21" s="213">
        <v>95</v>
      </c>
      <c r="AC21" s="213"/>
      <c r="AD21" s="213"/>
      <c r="AE21" s="213"/>
      <c r="AF21" s="213"/>
      <c r="AG21" s="257">
        <f t="shared" si="0"/>
        <v>93.8</v>
      </c>
      <c r="AH21" s="213">
        <v>91</v>
      </c>
      <c r="AI21" s="213">
        <v>94</v>
      </c>
      <c r="AJ21" s="213">
        <v>98</v>
      </c>
      <c r="AK21" s="213">
        <f t="shared" si="5"/>
        <v>94.333333333333329</v>
      </c>
      <c r="AL21" s="213">
        <v>87</v>
      </c>
      <c r="AM21" s="213">
        <v>90</v>
      </c>
      <c r="AN21" s="213"/>
      <c r="AO21" s="213"/>
      <c r="AP21" s="213"/>
      <c r="AQ21" s="213"/>
      <c r="AR21" s="213">
        <f t="shared" si="6"/>
        <v>94.333333333333329</v>
      </c>
      <c r="AS21" s="213">
        <f t="shared" si="7"/>
        <v>88.5</v>
      </c>
      <c r="AT21" s="279"/>
      <c r="AU21" s="213"/>
      <c r="AV21" s="213">
        <f t="shared" si="8"/>
        <v>94.333333333333329</v>
      </c>
      <c r="AW21" s="213">
        <f t="shared" si="8"/>
        <v>88.5</v>
      </c>
      <c r="AX21" s="213">
        <f t="shared" si="9"/>
        <v>91.416666666666657</v>
      </c>
    </row>
    <row r="22" spans="1:50" ht="18.75" customHeight="1">
      <c r="A22" s="147">
        <v>19</v>
      </c>
      <c r="B22" s="135" t="str">
        <f>VLOOKUP(A22,緊急聯絡!A$2:C$27,3,0)</f>
        <v>吳羽棠</v>
      </c>
      <c r="C22" s="213">
        <v>95</v>
      </c>
      <c r="D22" s="213">
        <v>91</v>
      </c>
      <c r="E22" s="213">
        <v>92</v>
      </c>
      <c r="F22" s="213">
        <f t="shared" si="1"/>
        <v>92.666666666666671</v>
      </c>
      <c r="G22" s="213">
        <v>3</v>
      </c>
      <c r="H22" s="213">
        <v>95</v>
      </c>
      <c r="I22" s="213">
        <v>94</v>
      </c>
      <c r="J22" s="213">
        <v>93</v>
      </c>
      <c r="K22" s="213">
        <v>93</v>
      </c>
      <c r="L22" s="213">
        <f t="shared" si="2"/>
        <v>96.75</v>
      </c>
      <c r="M22" s="214">
        <v>92</v>
      </c>
      <c r="N22" s="213">
        <v>91</v>
      </c>
      <c r="O22" s="213">
        <v>90</v>
      </c>
      <c r="P22" s="213">
        <v>91</v>
      </c>
      <c r="Q22" s="213">
        <f t="shared" si="3"/>
        <v>91</v>
      </c>
      <c r="R22" s="213">
        <v>92</v>
      </c>
      <c r="S22" s="213">
        <v>95</v>
      </c>
      <c r="T22" s="213">
        <v>89</v>
      </c>
      <c r="U22" s="213">
        <v>91</v>
      </c>
      <c r="V22" s="213"/>
      <c r="W22" s="213">
        <f t="shared" si="4"/>
        <v>91.333333333333329</v>
      </c>
      <c r="X22" s="213">
        <v>97</v>
      </c>
      <c r="Y22" s="213">
        <v>91</v>
      </c>
      <c r="Z22" s="213">
        <v>92</v>
      </c>
      <c r="AA22" s="213">
        <v>96</v>
      </c>
      <c r="AB22" s="213">
        <v>97</v>
      </c>
      <c r="AC22" s="213"/>
      <c r="AD22" s="213"/>
      <c r="AE22" s="213"/>
      <c r="AF22" s="213"/>
      <c r="AG22" s="257">
        <f t="shared" si="0"/>
        <v>94.6</v>
      </c>
      <c r="AH22" s="213">
        <v>91</v>
      </c>
      <c r="AI22" s="213">
        <v>92</v>
      </c>
      <c r="AJ22" s="213">
        <v>93</v>
      </c>
      <c r="AK22" s="213">
        <f t="shared" si="5"/>
        <v>92</v>
      </c>
      <c r="AL22" s="213">
        <v>90</v>
      </c>
      <c r="AM22" s="213">
        <v>91</v>
      </c>
      <c r="AN22" s="213"/>
      <c r="AO22" s="213"/>
      <c r="AP22" s="213"/>
      <c r="AQ22" s="213"/>
      <c r="AR22" s="213">
        <f t="shared" si="6"/>
        <v>92</v>
      </c>
      <c r="AS22" s="213">
        <f t="shared" si="7"/>
        <v>90.5</v>
      </c>
      <c r="AT22" s="279">
        <v>95</v>
      </c>
      <c r="AU22" s="213"/>
      <c r="AV22" s="213">
        <f t="shared" si="8"/>
        <v>93.5</v>
      </c>
      <c r="AW22" s="213">
        <f t="shared" si="8"/>
        <v>90.5</v>
      </c>
      <c r="AX22" s="213">
        <f t="shared" si="9"/>
        <v>92</v>
      </c>
    </row>
    <row r="23" spans="1:50" ht="18.75" customHeight="1">
      <c r="A23" s="147">
        <v>20</v>
      </c>
      <c r="B23" s="135" t="str">
        <f>VLOOKUP(A23,緊急聯絡!A$2:C$27,3,0)</f>
        <v>蔡羽媗</v>
      </c>
      <c r="C23" s="213">
        <v>94</v>
      </c>
      <c r="D23" s="213">
        <v>90</v>
      </c>
      <c r="E23" s="213">
        <v>92</v>
      </c>
      <c r="F23" s="213">
        <f t="shared" si="1"/>
        <v>92</v>
      </c>
      <c r="G23" s="213">
        <v>1</v>
      </c>
      <c r="H23" s="213">
        <v>87</v>
      </c>
      <c r="I23" s="213">
        <v>94</v>
      </c>
      <c r="J23" s="213">
        <v>92</v>
      </c>
      <c r="K23" s="213">
        <v>93</v>
      </c>
      <c r="L23" s="213">
        <f t="shared" si="2"/>
        <v>92.5</v>
      </c>
      <c r="M23" s="214">
        <v>93</v>
      </c>
      <c r="N23" s="213">
        <v>98</v>
      </c>
      <c r="O23" s="213">
        <v>92</v>
      </c>
      <c r="P23" s="213">
        <v>93</v>
      </c>
      <c r="Q23" s="213">
        <f t="shared" si="3"/>
        <v>94</v>
      </c>
      <c r="R23" s="213">
        <v>95</v>
      </c>
      <c r="S23" s="213">
        <v>92</v>
      </c>
      <c r="T23" s="213">
        <v>96</v>
      </c>
      <c r="U23" s="213">
        <v>92</v>
      </c>
      <c r="V23" s="213"/>
      <c r="W23" s="213">
        <f t="shared" si="4"/>
        <v>93.888888888888886</v>
      </c>
      <c r="X23" s="213">
        <v>96</v>
      </c>
      <c r="Y23" s="213">
        <v>96</v>
      </c>
      <c r="Z23" s="213">
        <v>95</v>
      </c>
      <c r="AA23" s="213">
        <v>96</v>
      </c>
      <c r="AB23" s="213">
        <v>97</v>
      </c>
      <c r="AC23" s="213"/>
      <c r="AD23" s="213"/>
      <c r="AE23" s="213"/>
      <c r="AF23" s="213"/>
      <c r="AG23" s="257">
        <f t="shared" si="0"/>
        <v>96</v>
      </c>
      <c r="AH23" s="213">
        <v>94</v>
      </c>
      <c r="AI23" s="213">
        <v>96</v>
      </c>
      <c r="AJ23" s="213">
        <v>93</v>
      </c>
      <c r="AK23" s="213">
        <f t="shared" si="5"/>
        <v>94.333333333333329</v>
      </c>
      <c r="AL23" s="213">
        <v>93</v>
      </c>
      <c r="AM23" s="213">
        <v>93</v>
      </c>
      <c r="AN23" s="213"/>
      <c r="AO23" s="213"/>
      <c r="AP23" s="213"/>
      <c r="AQ23" s="213"/>
      <c r="AR23" s="213">
        <f t="shared" si="6"/>
        <v>94.333333333333329</v>
      </c>
      <c r="AS23" s="213">
        <f t="shared" si="7"/>
        <v>93</v>
      </c>
      <c r="AT23" s="279">
        <v>95</v>
      </c>
      <c r="AU23" s="213"/>
      <c r="AV23" s="213">
        <f t="shared" si="8"/>
        <v>94.666666666666657</v>
      </c>
      <c r="AW23" s="213">
        <f t="shared" si="8"/>
        <v>93</v>
      </c>
      <c r="AX23" s="213">
        <f t="shared" si="9"/>
        <v>93.833333333333329</v>
      </c>
    </row>
    <row r="24" spans="1:50" ht="18.75" customHeight="1">
      <c r="A24" s="147">
        <v>21</v>
      </c>
      <c r="B24" s="135" t="str">
        <f>VLOOKUP(A24,緊急聯絡!A$2:C$27,3,0)</f>
        <v>楊筱歆</v>
      </c>
      <c r="C24" s="213">
        <v>95</v>
      </c>
      <c r="D24" s="213">
        <v>90</v>
      </c>
      <c r="E24" s="213">
        <v>92</v>
      </c>
      <c r="F24" s="213">
        <f t="shared" si="1"/>
        <v>92.333333333333329</v>
      </c>
      <c r="G24" s="213">
        <v>3</v>
      </c>
      <c r="H24" s="213">
        <v>90</v>
      </c>
      <c r="I24" s="213">
        <v>95</v>
      </c>
      <c r="J24" s="213">
        <v>93</v>
      </c>
      <c r="K24" s="213">
        <v>93</v>
      </c>
      <c r="L24" s="213">
        <f t="shared" si="2"/>
        <v>95.75</v>
      </c>
      <c r="M24" s="214">
        <v>92</v>
      </c>
      <c r="N24" s="213">
        <v>90</v>
      </c>
      <c r="O24" s="213">
        <v>94</v>
      </c>
      <c r="P24" s="213">
        <v>92</v>
      </c>
      <c r="Q24" s="213">
        <f t="shared" si="3"/>
        <v>92</v>
      </c>
      <c r="R24" s="213">
        <v>93</v>
      </c>
      <c r="S24" s="213">
        <v>94</v>
      </c>
      <c r="T24" s="213">
        <v>90</v>
      </c>
      <c r="U24" s="213">
        <v>92</v>
      </c>
      <c r="V24" s="213"/>
      <c r="W24" s="213">
        <f t="shared" si="4"/>
        <v>92.111111111111114</v>
      </c>
      <c r="X24" s="213">
        <v>98</v>
      </c>
      <c r="Y24" s="213">
        <v>97</v>
      </c>
      <c r="Z24" s="213">
        <v>92</v>
      </c>
      <c r="AA24" s="213">
        <v>94</v>
      </c>
      <c r="AB24" s="213">
        <v>95</v>
      </c>
      <c r="AC24" s="213"/>
      <c r="AD24" s="213"/>
      <c r="AE24" s="213"/>
      <c r="AF24" s="213"/>
      <c r="AG24" s="257">
        <f t="shared" si="0"/>
        <v>95.2</v>
      </c>
      <c r="AH24" s="213">
        <v>90</v>
      </c>
      <c r="AI24" s="213">
        <v>94</v>
      </c>
      <c r="AJ24" s="213">
        <v>94</v>
      </c>
      <c r="AK24" s="213">
        <f t="shared" si="5"/>
        <v>92.666666666666671</v>
      </c>
      <c r="AL24" s="213">
        <v>94</v>
      </c>
      <c r="AM24" s="213">
        <v>94</v>
      </c>
      <c r="AN24" s="213"/>
      <c r="AO24" s="213"/>
      <c r="AP24" s="213"/>
      <c r="AQ24" s="213"/>
      <c r="AR24" s="213">
        <f t="shared" si="6"/>
        <v>92.666666666666671</v>
      </c>
      <c r="AS24" s="213">
        <f t="shared" si="7"/>
        <v>94</v>
      </c>
      <c r="AT24" s="279"/>
      <c r="AU24" s="213"/>
      <c r="AV24" s="213">
        <f t="shared" si="8"/>
        <v>92.666666666666671</v>
      </c>
      <c r="AW24" s="213">
        <f t="shared" si="8"/>
        <v>94</v>
      </c>
      <c r="AX24" s="213">
        <f t="shared" si="9"/>
        <v>93.333333333333343</v>
      </c>
    </row>
    <row r="25" spans="1:50" ht="18.75" customHeight="1">
      <c r="A25" s="147">
        <v>22</v>
      </c>
      <c r="B25" s="135" t="str">
        <f>VLOOKUP(A25,緊急聯絡!A$2:C$27,3,0)</f>
        <v>邱詩涵</v>
      </c>
      <c r="C25" s="213">
        <v>96</v>
      </c>
      <c r="D25" s="213">
        <v>92</v>
      </c>
      <c r="E25" s="213">
        <v>92</v>
      </c>
      <c r="F25" s="213">
        <f t="shared" si="1"/>
        <v>93.333333333333329</v>
      </c>
      <c r="G25" s="213">
        <v>3</v>
      </c>
      <c r="H25" s="213">
        <v>92</v>
      </c>
      <c r="I25" s="213">
        <v>94</v>
      </c>
      <c r="J25" s="213">
        <v>96</v>
      </c>
      <c r="K25" s="213">
        <v>93</v>
      </c>
      <c r="L25" s="213">
        <f t="shared" si="2"/>
        <v>96.75</v>
      </c>
      <c r="M25" s="214">
        <v>92</v>
      </c>
      <c r="N25" s="213">
        <v>90</v>
      </c>
      <c r="O25" s="213">
        <v>95</v>
      </c>
      <c r="P25" s="213">
        <v>94</v>
      </c>
      <c r="Q25" s="213">
        <f t="shared" si="3"/>
        <v>92.75</v>
      </c>
      <c r="R25" s="213">
        <v>91</v>
      </c>
      <c r="S25" s="213">
        <v>92</v>
      </c>
      <c r="T25" s="213">
        <v>94</v>
      </c>
      <c r="U25" s="213">
        <v>92</v>
      </c>
      <c r="V25" s="213"/>
      <c r="W25" s="213">
        <f t="shared" si="4"/>
        <v>92.527777777777771</v>
      </c>
      <c r="X25" s="213">
        <v>95</v>
      </c>
      <c r="Y25" s="213">
        <v>95</v>
      </c>
      <c r="Z25" s="213">
        <v>94</v>
      </c>
      <c r="AA25" s="213">
        <v>95</v>
      </c>
      <c r="AB25" s="213">
        <v>95</v>
      </c>
      <c r="AC25" s="213"/>
      <c r="AD25" s="213"/>
      <c r="AE25" s="213"/>
      <c r="AF25" s="213"/>
      <c r="AG25" s="257">
        <f t="shared" si="0"/>
        <v>94.8</v>
      </c>
      <c r="AH25" s="213">
        <v>92</v>
      </c>
      <c r="AI25" s="213">
        <v>96</v>
      </c>
      <c r="AJ25" s="213">
        <v>93</v>
      </c>
      <c r="AK25" s="213">
        <f t="shared" si="5"/>
        <v>93.666666666666671</v>
      </c>
      <c r="AL25" s="213">
        <v>95</v>
      </c>
      <c r="AM25" s="213">
        <v>94</v>
      </c>
      <c r="AN25" s="213"/>
      <c r="AO25" s="213"/>
      <c r="AP25" s="213"/>
      <c r="AQ25" s="213"/>
      <c r="AR25" s="213">
        <f t="shared" si="6"/>
        <v>93.666666666666671</v>
      </c>
      <c r="AS25" s="213">
        <f t="shared" si="7"/>
        <v>94.5</v>
      </c>
      <c r="AT25" s="279"/>
      <c r="AU25" s="213"/>
      <c r="AV25" s="213">
        <f t="shared" si="8"/>
        <v>93.666666666666671</v>
      </c>
      <c r="AW25" s="213">
        <f t="shared" si="8"/>
        <v>94.5</v>
      </c>
      <c r="AX25" s="213">
        <f t="shared" si="9"/>
        <v>94.083333333333343</v>
      </c>
    </row>
    <row r="26" spans="1:50" ht="18.75" customHeight="1">
      <c r="A26" s="147">
        <v>23</v>
      </c>
      <c r="B26" s="135" t="str">
        <f>VLOOKUP(A26,緊急聯絡!A$2:C$27,3,0)</f>
        <v>張涵甯</v>
      </c>
      <c r="C26" s="213">
        <v>95</v>
      </c>
      <c r="D26" s="213">
        <v>93</v>
      </c>
      <c r="E26" s="213">
        <v>94</v>
      </c>
      <c r="F26" s="213">
        <f t="shared" si="1"/>
        <v>94</v>
      </c>
      <c r="G26" s="213">
        <v>3</v>
      </c>
      <c r="H26" s="213">
        <v>91</v>
      </c>
      <c r="I26" s="213">
        <v>95</v>
      </c>
      <c r="J26" s="213">
        <v>95</v>
      </c>
      <c r="K26" s="213">
        <v>93</v>
      </c>
      <c r="L26" s="213">
        <f t="shared" si="2"/>
        <v>96.5</v>
      </c>
      <c r="M26" s="214">
        <v>94</v>
      </c>
      <c r="N26" s="213">
        <v>95</v>
      </c>
      <c r="O26" s="213">
        <v>90</v>
      </c>
      <c r="P26" s="213">
        <v>94</v>
      </c>
      <c r="Q26" s="213">
        <f t="shared" si="3"/>
        <v>93.25</v>
      </c>
      <c r="R26" s="213">
        <v>91</v>
      </c>
      <c r="S26" s="213">
        <v>95</v>
      </c>
      <c r="T26" s="213">
        <v>89</v>
      </c>
      <c r="U26" s="213">
        <v>93</v>
      </c>
      <c r="V26" s="213"/>
      <c r="W26" s="213">
        <f t="shared" si="4"/>
        <v>92.694444444444443</v>
      </c>
      <c r="X26" s="213">
        <v>94</v>
      </c>
      <c r="Y26" s="213">
        <v>97</v>
      </c>
      <c r="Z26" s="213">
        <v>92</v>
      </c>
      <c r="AA26" s="213">
        <v>94</v>
      </c>
      <c r="AB26" s="213">
        <v>96</v>
      </c>
      <c r="AC26" s="213"/>
      <c r="AD26" s="213"/>
      <c r="AE26" s="213"/>
      <c r="AF26" s="213"/>
      <c r="AG26" s="257">
        <f t="shared" si="0"/>
        <v>94.6</v>
      </c>
      <c r="AH26" s="213">
        <v>92</v>
      </c>
      <c r="AI26" s="213">
        <v>91</v>
      </c>
      <c r="AJ26" s="213">
        <v>93</v>
      </c>
      <c r="AK26" s="213">
        <f t="shared" si="5"/>
        <v>92</v>
      </c>
      <c r="AL26" s="213">
        <v>95</v>
      </c>
      <c r="AM26" s="213">
        <v>96</v>
      </c>
      <c r="AN26" s="213"/>
      <c r="AO26" s="213"/>
      <c r="AP26" s="213"/>
      <c r="AQ26" s="213"/>
      <c r="AR26" s="213">
        <f t="shared" si="6"/>
        <v>92</v>
      </c>
      <c r="AS26" s="213">
        <f t="shared" si="7"/>
        <v>95.5</v>
      </c>
      <c r="AT26" s="279">
        <v>95</v>
      </c>
      <c r="AU26" s="213"/>
      <c r="AV26" s="213">
        <f t="shared" si="8"/>
        <v>93.5</v>
      </c>
      <c r="AW26" s="213">
        <f t="shared" si="8"/>
        <v>95.5</v>
      </c>
      <c r="AX26" s="213">
        <f t="shared" si="9"/>
        <v>94.5</v>
      </c>
    </row>
    <row r="27" spans="1:50" ht="18.75" customHeight="1">
      <c r="A27" s="147">
        <v>24</v>
      </c>
      <c r="B27" s="135" t="str">
        <f>VLOOKUP(A27,緊急聯絡!A$2:C$27,3,0)</f>
        <v>王姿涵</v>
      </c>
      <c r="C27" s="213">
        <v>96</v>
      </c>
      <c r="D27" s="213">
        <v>93</v>
      </c>
      <c r="E27" s="213">
        <v>93</v>
      </c>
      <c r="F27" s="213">
        <f t="shared" si="1"/>
        <v>94</v>
      </c>
      <c r="G27" s="213">
        <v>3</v>
      </c>
      <c r="H27" s="213">
        <v>88</v>
      </c>
      <c r="I27" s="213">
        <v>90</v>
      </c>
      <c r="J27" s="213">
        <v>94</v>
      </c>
      <c r="K27" s="213">
        <v>93</v>
      </c>
      <c r="L27" s="213">
        <f t="shared" si="2"/>
        <v>94.25</v>
      </c>
      <c r="M27" s="214">
        <v>96</v>
      </c>
      <c r="N27" s="213">
        <v>93</v>
      </c>
      <c r="O27" s="213">
        <v>95</v>
      </c>
      <c r="P27" s="213">
        <v>92</v>
      </c>
      <c r="Q27" s="213">
        <f t="shared" si="3"/>
        <v>94</v>
      </c>
      <c r="R27" s="213">
        <v>92</v>
      </c>
      <c r="S27" s="213">
        <v>95</v>
      </c>
      <c r="T27" s="213">
        <v>89</v>
      </c>
      <c r="U27" s="213">
        <v>92</v>
      </c>
      <c r="V27" s="213"/>
      <c r="W27" s="213">
        <f t="shared" si="4"/>
        <v>93.111111111111114</v>
      </c>
      <c r="X27" s="213">
        <v>97</v>
      </c>
      <c r="Y27" s="213">
        <v>94</v>
      </c>
      <c r="Z27" s="213">
        <v>96</v>
      </c>
      <c r="AA27" s="213">
        <v>95</v>
      </c>
      <c r="AB27" s="213">
        <v>94</v>
      </c>
      <c r="AC27" s="213"/>
      <c r="AD27" s="213"/>
      <c r="AE27" s="213"/>
      <c r="AF27" s="213"/>
      <c r="AG27" s="257">
        <f t="shared" si="0"/>
        <v>95.2</v>
      </c>
      <c r="AH27" s="213">
        <v>91</v>
      </c>
      <c r="AI27" s="213">
        <v>93</v>
      </c>
      <c r="AJ27" s="213">
        <v>94</v>
      </c>
      <c r="AK27" s="213">
        <f t="shared" si="5"/>
        <v>92.666666666666671</v>
      </c>
      <c r="AL27" s="213">
        <v>94</v>
      </c>
      <c r="AM27" s="213">
        <v>95</v>
      </c>
      <c r="AN27" s="213"/>
      <c r="AO27" s="213"/>
      <c r="AP27" s="213"/>
      <c r="AQ27" s="213"/>
      <c r="AR27" s="213">
        <f t="shared" si="6"/>
        <v>92.666666666666671</v>
      </c>
      <c r="AS27" s="213">
        <f t="shared" si="7"/>
        <v>94.5</v>
      </c>
      <c r="AT27" s="279"/>
      <c r="AU27" s="213"/>
      <c r="AV27" s="213">
        <f t="shared" ref="AV27:AW30" si="10">AVERAGE(AR27,AT27)</f>
        <v>92.666666666666671</v>
      </c>
      <c r="AW27" s="213">
        <f t="shared" si="10"/>
        <v>94.5</v>
      </c>
      <c r="AX27" s="213">
        <f t="shared" si="9"/>
        <v>93.583333333333343</v>
      </c>
    </row>
    <row r="28" spans="1:50" ht="18.75" customHeight="1">
      <c r="A28" s="147">
        <v>25</v>
      </c>
      <c r="B28" s="135" t="str">
        <f>VLOOKUP(A28,緊急聯絡!A$2:C$27,3,0)</f>
        <v>林昱萱</v>
      </c>
      <c r="C28" s="213">
        <v>90</v>
      </c>
      <c r="D28" s="213">
        <v>90</v>
      </c>
      <c r="E28" s="213">
        <v>93</v>
      </c>
      <c r="F28" s="213">
        <f t="shared" si="1"/>
        <v>91</v>
      </c>
      <c r="G28" s="213">
        <v>2</v>
      </c>
      <c r="H28" s="213">
        <v>88</v>
      </c>
      <c r="I28" s="213">
        <v>93</v>
      </c>
      <c r="J28" s="213">
        <v>94</v>
      </c>
      <c r="K28" s="213">
        <v>93</v>
      </c>
      <c r="L28" s="213">
        <f t="shared" si="2"/>
        <v>94</v>
      </c>
      <c r="M28" s="214">
        <v>91</v>
      </c>
      <c r="N28" s="213">
        <v>91</v>
      </c>
      <c r="O28" s="213">
        <v>90</v>
      </c>
      <c r="P28" s="213">
        <v>92</v>
      </c>
      <c r="Q28" s="213">
        <f t="shared" si="3"/>
        <v>91</v>
      </c>
      <c r="R28" s="213">
        <v>94</v>
      </c>
      <c r="S28" s="213">
        <v>96</v>
      </c>
      <c r="T28" s="213">
        <v>94</v>
      </c>
      <c r="U28" s="213">
        <v>95</v>
      </c>
      <c r="V28" s="213"/>
      <c r="W28" s="213">
        <f t="shared" si="4"/>
        <v>92.666666666666671</v>
      </c>
      <c r="X28" s="213">
        <v>94</v>
      </c>
      <c r="Y28" s="213">
        <v>93</v>
      </c>
      <c r="Z28" s="213">
        <v>92</v>
      </c>
      <c r="AA28" s="213">
        <v>92</v>
      </c>
      <c r="AB28" s="213">
        <v>95</v>
      </c>
      <c r="AC28" s="213"/>
      <c r="AD28" s="213"/>
      <c r="AE28" s="213"/>
      <c r="AF28" s="213"/>
      <c r="AG28" s="257">
        <f t="shared" si="0"/>
        <v>93.2</v>
      </c>
      <c r="AH28" s="213">
        <v>88</v>
      </c>
      <c r="AI28" s="213">
        <v>94</v>
      </c>
      <c r="AJ28" s="213">
        <v>93</v>
      </c>
      <c r="AK28" s="213">
        <f t="shared" si="5"/>
        <v>91.666666666666671</v>
      </c>
      <c r="AL28" s="213">
        <v>92</v>
      </c>
      <c r="AM28" s="213">
        <v>91</v>
      </c>
      <c r="AN28" s="213"/>
      <c r="AO28" s="213"/>
      <c r="AP28" s="213"/>
      <c r="AQ28" s="213"/>
      <c r="AR28" s="213">
        <f t="shared" si="6"/>
        <v>91.666666666666671</v>
      </c>
      <c r="AS28" s="213">
        <f t="shared" si="7"/>
        <v>91.5</v>
      </c>
      <c r="AT28" s="279">
        <v>92</v>
      </c>
      <c r="AU28" s="213"/>
      <c r="AV28" s="213">
        <f t="shared" si="10"/>
        <v>91.833333333333343</v>
      </c>
      <c r="AW28" s="213">
        <f t="shared" si="10"/>
        <v>91.5</v>
      </c>
      <c r="AX28" s="213">
        <f t="shared" si="9"/>
        <v>91.666666666666671</v>
      </c>
    </row>
    <row r="29" spans="1:50" ht="18.75" customHeight="1">
      <c r="A29" s="147">
        <v>26</v>
      </c>
      <c r="B29" s="135" t="str">
        <f>VLOOKUP(A29,緊急聯絡!A$2:C$27,3,0)</f>
        <v>李文</v>
      </c>
      <c r="C29" s="213">
        <v>94</v>
      </c>
      <c r="D29" s="213">
        <v>91</v>
      </c>
      <c r="E29" s="213">
        <v>90</v>
      </c>
      <c r="F29" s="213">
        <f t="shared" si="1"/>
        <v>91.666666666666671</v>
      </c>
      <c r="G29" s="213">
        <v>3</v>
      </c>
      <c r="H29" s="213">
        <v>88</v>
      </c>
      <c r="I29" s="213">
        <v>94</v>
      </c>
      <c r="J29" s="213">
        <v>92</v>
      </c>
      <c r="K29" s="213">
        <v>93</v>
      </c>
      <c r="L29" s="213">
        <f t="shared" si="2"/>
        <v>94.75</v>
      </c>
      <c r="M29" s="214">
        <v>93</v>
      </c>
      <c r="N29" s="213">
        <v>93</v>
      </c>
      <c r="O29" s="213">
        <v>90</v>
      </c>
      <c r="P29" s="213">
        <v>93</v>
      </c>
      <c r="Q29" s="213">
        <f t="shared" si="3"/>
        <v>92.25</v>
      </c>
      <c r="R29" s="213">
        <v>92</v>
      </c>
      <c r="S29" s="213">
        <v>94</v>
      </c>
      <c r="T29" s="213">
        <v>90</v>
      </c>
      <c r="U29" s="213">
        <v>93</v>
      </c>
      <c r="V29" s="213"/>
      <c r="W29" s="213">
        <f t="shared" si="4"/>
        <v>92.25</v>
      </c>
      <c r="X29" s="213">
        <v>94</v>
      </c>
      <c r="Y29" s="213">
        <v>93</v>
      </c>
      <c r="Z29" s="213">
        <v>93</v>
      </c>
      <c r="AA29" s="213">
        <v>96</v>
      </c>
      <c r="AB29" s="213">
        <v>97</v>
      </c>
      <c r="AC29" s="213"/>
      <c r="AD29" s="213"/>
      <c r="AE29" s="213"/>
      <c r="AF29" s="213"/>
      <c r="AG29" s="257">
        <f t="shared" si="0"/>
        <v>94.6</v>
      </c>
      <c r="AH29" s="213">
        <v>92</v>
      </c>
      <c r="AI29" s="213">
        <v>91</v>
      </c>
      <c r="AJ29" s="213">
        <v>95</v>
      </c>
      <c r="AK29" s="213">
        <f t="shared" si="5"/>
        <v>92.666666666666671</v>
      </c>
      <c r="AL29" s="213">
        <v>91</v>
      </c>
      <c r="AM29" s="213">
        <v>92</v>
      </c>
      <c r="AN29" s="213"/>
      <c r="AO29" s="213"/>
      <c r="AP29" s="213"/>
      <c r="AQ29" s="213"/>
      <c r="AR29" s="213">
        <f t="shared" si="6"/>
        <v>92.666666666666671</v>
      </c>
      <c r="AS29" s="213">
        <f t="shared" si="7"/>
        <v>91.5</v>
      </c>
      <c r="AT29" s="279"/>
      <c r="AU29" s="213"/>
      <c r="AV29" s="213">
        <f t="shared" si="10"/>
        <v>92.666666666666671</v>
      </c>
      <c r="AW29" s="213">
        <f t="shared" si="10"/>
        <v>91.5</v>
      </c>
      <c r="AX29" s="213">
        <f t="shared" si="9"/>
        <v>92.083333333333343</v>
      </c>
    </row>
    <row r="30" spans="1:50" ht="18.75" customHeight="1">
      <c r="A30" s="217">
        <v>29</v>
      </c>
      <c r="B30" s="212"/>
      <c r="C30" s="213">
        <v>95</v>
      </c>
      <c r="D30" s="213">
        <v>95</v>
      </c>
      <c r="E30" s="213">
        <v>94</v>
      </c>
      <c r="F30" s="213">
        <f>AVERAGE(C30:E30)</f>
        <v>94.666666666666671</v>
      </c>
      <c r="G30" s="213">
        <v>3</v>
      </c>
      <c r="H30" s="213">
        <v>96</v>
      </c>
      <c r="I30" s="213">
        <v>96</v>
      </c>
      <c r="J30" s="213">
        <v>97</v>
      </c>
      <c r="K30" s="213">
        <v>93</v>
      </c>
      <c r="L30" s="213">
        <f t="shared" si="2"/>
        <v>98.5</v>
      </c>
      <c r="M30" s="214">
        <v>98</v>
      </c>
      <c r="N30" s="213">
        <v>86</v>
      </c>
      <c r="O30" s="213">
        <v>91</v>
      </c>
      <c r="P30" s="213">
        <v>97</v>
      </c>
      <c r="Q30" s="213">
        <f t="shared" si="3"/>
        <v>93</v>
      </c>
      <c r="R30" s="213">
        <v>96</v>
      </c>
      <c r="S30" s="213">
        <v>91</v>
      </c>
      <c r="T30" s="213">
        <v>99</v>
      </c>
      <c r="U30" s="213">
        <v>94</v>
      </c>
      <c r="V30" s="213"/>
      <c r="W30" s="213">
        <f t="shared" si="4"/>
        <v>93.888888888888886</v>
      </c>
      <c r="X30" s="213">
        <v>94</v>
      </c>
      <c r="Y30" s="213">
        <v>89</v>
      </c>
      <c r="Z30" s="213">
        <v>95</v>
      </c>
      <c r="AA30" s="213">
        <v>95</v>
      </c>
      <c r="AB30" s="213">
        <v>97</v>
      </c>
      <c r="AC30" s="213"/>
      <c r="AD30" s="213"/>
      <c r="AE30" s="213"/>
      <c r="AF30" s="213"/>
      <c r="AG30" s="257">
        <f t="shared" si="0"/>
        <v>94</v>
      </c>
      <c r="AH30" s="213">
        <v>95</v>
      </c>
      <c r="AI30" s="213">
        <v>91</v>
      </c>
      <c r="AJ30" s="213">
        <v>96</v>
      </c>
      <c r="AK30" s="213">
        <f t="shared" si="5"/>
        <v>94</v>
      </c>
      <c r="AL30" s="213">
        <v>90</v>
      </c>
      <c r="AM30" s="213">
        <v>92</v>
      </c>
      <c r="AN30" s="213"/>
      <c r="AO30" s="213"/>
      <c r="AP30" s="213"/>
      <c r="AQ30" s="213"/>
      <c r="AR30" s="213">
        <f t="shared" si="6"/>
        <v>94</v>
      </c>
      <c r="AS30" s="213">
        <f t="shared" si="7"/>
        <v>91</v>
      </c>
      <c r="AT30" s="279"/>
      <c r="AU30" s="213"/>
      <c r="AV30" s="213">
        <f t="shared" si="10"/>
        <v>94</v>
      </c>
      <c r="AW30" s="213">
        <f t="shared" si="10"/>
        <v>91</v>
      </c>
      <c r="AX30" s="213">
        <f t="shared" si="9"/>
        <v>92.5</v>
      </c>
    </row>
    <row r="31" spans="1:50" ht="18.75" customHeight="1">
      <c r="A31" s="217">
        <v>30</v>
      </c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4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57"/>
      <c r="AH31" s="213">
        <v>91</v>
      </c>
      <c r="AI31" s="213">
        <v>95</v>
      </c>
      <c r="AJ31" s="213">
        <v>93</v>
      </c>
      <c r="AK31" s="213">
        <f t="shared" si="5"/>
        <v>93</v>
      </c>
      <c r="AL31" s="213">
        <v>92</v>
      </c>
      <c r="AM31" s="213">
        <v>92</v>
      </c>
      <c r="AN31" s="213"/>
      <c r="AO31" s="213"/>
      <c r="AP31" s="213"/>
      <c r="AQ31" s="213"/>
      <c r="AR31" s="213">
        <f t="shared" si="6"/>
        <v>93</v>
      </c>
      <c r="AS31" s="213">
        <f t="shared" si="7"/>
        <v>92</v>
      </c>
      <c r="AT31" s="279"/>
      <c r="AU31" s="213"/>
      <c r="AV31" s="213"/>
      <c r="AW31" s="213"/>
      <c r="AX31" s="213"/>
    </row>
    <row r="32" spans="1:50" ht="18.75" customHeight="1">
      <c r="A32" s="60"/>
      <c r="B32" s="61" t="s">
        <v>214</v>
      </c>
      <c r="C32" s="60">
        <f>AVERAGE(C4:C30)</f>
        <v>92.666666666666671</v>
      </c>
      <c r="D32" s="60">
        <f>AVERAGE(D4:D30)</f>
        <v>90.888888888888886</v>
      </c>
      <c r="E32" s="60">
        <f>AVERAGE(E4:E30)</f>
        <v>92.592592592592595</v>
      </c>
      <c r="F32" s="60">
        <f>AVERAGE(F4:F26)</f>
        <v>91.913043478260875</v>
      </c>
      <c r="G32" s="60">
        <f>AVERAGE(G4:G30)</f>
        <v>2.3333333333333335</v>
      </c>
      <c r="H32" s="60">
        <f t="shared" ref="H32:O32" si="11">AVERAGE(H4:H26)</f>
        <v>90.130434782608702</v>
      </c>
      <c r="I32" s="60">
        <f t="shared" si="11"/>
        <v>92.260869565217391</v>
      </c>
      <c r="J32" s="60">
        <f t="shared" si="11"/>
        <v>91.739130434782609</v>
      </c>
      <c r="K32" s="60">
        <f t="shared" si="11"/>
        <v>93</v>
      </c>
      <c r="L32" s="60">
        <f t="shared" si="11"/>
        <v>94.043478260869563</v>
      </c>
      <c r="M32" s="60">
        <f t="shared" si="11"/>
        <v>92.347826086956516</v>
      </c>
      <c r="N32" s="60">
        <f t="shared" si="11"/>
        <v>90.565217391304344</v>
      </c>
      <c r="O32" s="60">
        <f t="shared" si="11"/>
        <v>89.956521739130437</v>
      </c>
      <c r="P32" s="60">
        <f>AVERAGE(P4:P30)</f>
        <v>92.555555555555557</v>
      </c>
      <c r="Q32" s="60">
        <f>AVERAGE(Q4:Q26)</f>
        <v>91.315217391304344</v>
      </c>
      <c r="R32" s="60">
        <f>AVERAGE(R4:R30)</f>
        <v>92.259259259259252</v>
      </c>
      <c r="S32" s="60">
        <f>AVERAGE(S4:S30)</f>
        <v>93.925925925925924</v>
      </c>
      <c r="T32" s="60">
        <f>AVERAGE(T4:T26)</f>
        <v>91.086956521739125</v>
      </c>
      <c r="U32" s="60">
        <f>AVERAGE(U4:U30)</f>
        <v>92.148148148148152</v>
      </c>
      <c r="V32" s="60" t="e">
        <f t="shared" ref="V32:AX32" si="12">AVERAGE(V4:V26)</f>
        <v>#DIV/0!</v>
      </c>
      <c r="W32" s="60">
        <f t="shared" si="12"/>
        <v>91.725845410628011</v>
      </c>
      <c r="X32" s="60">
        <f>AVERAGE(X4:X30)</f>
        <v>95.407407407407405</v>
      </c>
      <c r="Y32" s="60">
        <f t="shared" si="12"/>
        <v>93.347826086956516</v>
      </c>
      <c r="Z32" s="60">
        <f>AVERAGE(Z4:Z30)</f>
        <v>93.370370370370367</v>
      </c>
      <c r="AA32" s="60">
        <f t="shared" si="12"/>
        <v>94.608695652173907</v>
      </c>
      <c r="AB32" s="60">
        <f t="shared" si="12"/>
        <v>95.565217391304344</v>
      </c>
      <c r="AC32" s="60" t="e">
        <f t="shared" si="12"/>
        <v>#DIV/0!</v>
      </c>
      <c r="AD32" s="60" t="e">
        <f t="shared" si="12"/>
        <v>#DIV/0!</v>
      </c>
      <c r="AE32" s="60" t="e">
        <f t="shared" si="12"/>
        <v>#DIV/0!</v>
      </c>
      <c r="AF32" s="60" t="e">
        <f t="shared" si="12"/>
        <v>#DIV/0!</v>
      </c>
      <c r="AG32" s="60">
        <f t="shared" si="12"/>
        <v>94.460869565217394</v>
      </c>
      <c r="AH32" s="60">
        <f>AVERAGE(AH4:AH31)</f>
        <v>90.785714285714292</v>
      </c>
      <c r="AI32" s="60">
        <f t="shared" si="12"/>
        <v>92.130434782608702</v>
      </c>
      <c r="AJ32" s="60">
        <f t="shared" si="12"/>
        <v>93.347826086956516</v>
      </c>
      <c r="AK32" s="60">
        <f t="shared" si="12"/>
        <v>92.043478260869563</v>
      </c>
      <c r="AL32" s="60">
        <f>AVERAGE(AL4:AL31)</f>
        <v>92.678571428571431</v>
      </c>
      <c r="AM32" s="60">
        <f>AVERAGE(AM4:AM31)</f>
        <v>93.142857142857139</v>
      </c>
      <c r="AN32" s="60" t="e">
        <f t="shared" si="12"/>
        <v>#DIV/0!</v>
      </c>
      <c r="AO32" s="60" t="e">
        <f t="shared" si="12"/>
        <v>#DIV/0!</v>
      </c>
      <c r="AP32" s="60" t="e">
        <f t="shared" si="12"/>
        <v>#DIV/0!</v>
      </c>
      <c r="AQ32" s="60" t="e">
        <f t="shared" si="12"/>
        <v>#DIV/0!</v>
      </c>
      <c r="AR32" s="60">
        <f t="shared" si="12"/>
        <v>92.043478260869563</v>
      </c>
      <c r="AS32" s="60">
        <f t="shared" si="12"/>
        <v>93.086956521739125</v>
      </c>
      <c r="AT32" s="60">
        <f t="shared" si="12"/>
        <v>95.5</v>
      </c>
      <c r="AU32" s="60" t="e">
        <f t="shared" si="12"/>
        <v>#DIV/0!</v>
      </c>
      <c r="AV32" s="60">
        <f t="shared" si="12"/>
        <v>92.282608695652172</v>
      </c>
      <c r="AW32" s="60">
        <f t="shared" si="12"/>
        <v>93.086956521739125</v>
      </c>
      <c r="AX32" s="60">
        <f t="shared" si="12"/>
        <v>92.684782608695656</v>
      </c>
    </row>
    <row r="33" spans="2:50">
      <c r="B33" s="59">
        <v>100</v>
      </c>
      <c r="C33" s="59">
        <f t="shared" ref="C33:AX33" si="13">COUNTIF(C$4:C$31,"=100")</f>
        <v>0</v>
      </c>
      <c r="D33" s="59">
        <f t="shared" si="13"/>
        <v>0</v>
      </c>
      <c r="E33" s="59">
        <f t="shared" si="13"/>
        <v>0</v>
      </c>
      <c r="F33" s="59">
        <f t="shared" si="13"/>
        <v>0</v>
      </c>
      <c r="G33" s="59">
        <f t="shared" si="13"/>
        <v>0</v>
      </c>
      <c r="H33" s="59">
        <f t="shared" si="13"/>
        <v>0</v>
      </c>
      <c r="I33" s="59">
        <f t="shared" si="13"/>
        <v>0</v>
      </c>
      <c r="J33" s="59">
        <f t="shared" si="13"/>
        <v>0</v>
      </c>
      <c r="K33" s="59">
        <f t="shared" si="13"/>
        <v>0</v>
      </c>
      <c r="L33" s="59">
        <f t="shared" si="13"/>
        <v>0</v>
      </c>
      <c r="M33" s="59">
        <f t="shared" si="13"/>
        <v>0</v>
      </c>
      <c r="N33" s="59">
        <f t="shared" si="13"/>
        <v>0</v>
      </c>
      <c r="O33" s="59">
        <f t="shared" si="13"/>
        <v>0</v>
      </c>
      <c r="P33" s="59">
        <f t="shared" si="13"/>
        <v>0</v>
      </c>
      <c r="Q33" s="59">
        <f t="shared" si="13"/>
        <v>0</v>
      </c>
      <c r="R33" s="59">
        <f t="shared" si="13"/>
        <v>0</v>
      </c>
      <c r="S33" s="59">
        <f t="shared" si="13"/>
        <v>0</v>
      </c>
      <c r="T33" s="59">
        <f t="shared" si="13"/>
        <v>0</v>
      </c>
      <c r="U33" s="59">
        <f t="shared" si="13"/>
        <v>0</v>
      </c>
      <c r="V33" s="59">
        <f t="shared" si="13"/>
        <v>0</v>
      </c>
      <c r="W33" s="59">
        <f t="shared" si="13"/>
        <v>0</v>
      </c>
      <c r="X33" s="59">
        <f t="shared" si="13"/>
        <v>0</v>
      </c>
      <c r="Y33" s="59">
        <f t="shared" si="13"/>
        <v>0</v>
      </c>
      <c r="Z33" s="59">
        <f t="shared" si="13"/>
        <v>0</v>
      </c>
      <c r="AA33" s="59">
        <f t="shared" si="13"/>
        <v>0</v>
      </c>
      <c r="AB33" s="59">
        <f t="shared" si="13"/>
        <v>0</v>
      </c>
      <c r="AC33" s="59">
        <f t="shared" si="13"/>
        <v>0</v>
      </c>
      <c r="AD33" s="59">
        <f t="shared" si="13"/>
        <v>0</v>
      </c>
      <c r="AE33" s="59">
        <f t="shared" si="13"/>
        <v>0</v>
      </c>
      <c r="AF33" s="59">
        <f t="shared" si="13"/>
        <v>0</v>
      </c>
      <c r="AG33" s="59">
        <f t="shared" si="13"/>
        <v>0</v>
      </c>
      <c r="AH33" s="59">
        <f t="shared" si="13"/>
        <v>0</v>
      </c>
      <c r="AI33" s="59">
        <f t="shared" si="13"/>
        <v>0</v>
      </c>
      <c r="AJ33" s="59">
        <f t="shared" si="13"/>
        <v>0</v>
      </c>
      <c r="AK33" s="59">
        <f t="shared" si="13"/>
        <v>0</v>
      </c>
      <c r="AL33" s="59">
        <f t="shared" si="13"/>
        <v>0</v>
      </c>
      <c r="AM33" s="59">
        <f t="shared" si="13"/>
        <v>0</v>
      </c>
      <c r="AN33" s="59">
        <f t="shared" si="13"/>
        <v>0</v>
      </c>
      <c r="AO33" s="59">
        <f t="shared" si="13"/>
        <v>0</v>
      </c>
      <c r="AP33" s="59">
        <f t="shared" si="13"/>
        <v>0</v>
      </c>
      <c r="AQ33" s="59">
        <f t="shared" si="13"/>
        <v>0</v>
      </c>
      <c r="AR33" s="59">
        <f t="shared" si="13"/>
        <v>0</v>
      </c>
      <c r="AS33" s="59">
        <f t="shared" si="13"/>
        <v>0</v>
      </c>
      <c r="AT33" s="59">
        <f t="shared" si="13"/>
        <v>0</v>
      </c>
      <c r="AU33" s="59">
        <f t="shared" si="13"/>
        <v>0</v>
      </c>
      <c r="AV33" s="59">
        <f t="shared" si="13"/>
        <v>0</v>
      </c>
      <c r="AW33" s="59">
        <f t="shared" si="13"/>
        <v>0</v>
      </c>
      <c r="AX33" s="59">
        <f t="shared" si="13"/>
        <v>0</v>
      </c>
    </row>
    <row r="34" spans="2:50">
      <c r="B34" s="59">
        <v>90</v>
      </c>
      <c r="C34" s="59">
        <f t="shared" ref="C34:AX34" si="14">COUNTIF(C$4:C$31,"&gt;89")-C33</f>
        <v>22</v>
      </c>
      <c r="D34" s="59">
        <f t="shared" si="14"/>
        <v>21</v>
      </c>
      <c r="E34" s="59">
        <f t="shared" si="14"/>
        <v>26</v>
      </c>
      <c r="F34" s="59">
        <f t="shared" si="14"/>
        <v>24</v>
      </c>
      <c r="G34" s="59">
        <f t="shared" si="14"/>
        <v>0</v>
      </c>
      <c r="H34" s="59">
        <f t="shared" si="14"/>
        <v>15</v>
      </c>
      <c r="I34" s="59">
        <f t="shared" si="14"/>
        <v>27</v>
      </c>
      <c r="J34" s="59">
        <f t="shared" si="14"/>
        <v>22</v>
      </c>
      <c r="K34" s="59">
        <f t="shared" si="14"/>
        <v>27</v>
      </c>
      <c r="L34" s="59">
        <f t="shared" si="14"/>
        <v>27</v>
      </c>
      <c r="M34" s="59">
        <f t="shared" si="14"/>
        <v>27</v>
      </c>
      <c r="N34" s="59">
        <f t="shared" si="14"/>
        <v>20</v>
      </c>
      <c r="O34" s="59">
        <f t="shared" si="14"/>
        <v>21</v>
      </c>
      <c r="P34" s="59">
        <f t="shared" si="14"/>
        <v>27</v>
      </c>
      <c r="Q34" s="59">
        <f t="shared" si="14"/>
        <v>23</v>
      </c>
      <c r="R34" s="59">
        <f t="shared" si="14"/>
        <v>26</v>
      </c>
      <c r="S34" s="59">
        <f t="shared" si="14"/>
        <v>27</v>
      </c>
      <c r="T34" s="59">
        <f t="shared" si="14"/>
        <v>14</v>
      </c>
      <c r="U34" s="59">
        <f t="shared" si="14"/>
        <v>24</v>
      </c>
      <c r="V34" s="59">
        <f t="shared" si="14"/>
        <v>0</v>
      </c>
      <c r="W34" s="59">
        <f t="shared" si="14"/>
        <v>25</v>
      </c>
      <c r="X34" s="59">
        <f t="shared" si="14"/>
        <v>26</v>
      </c>
      <c r="Y34" s="59">
        <f t="shared" si="14"/>
        <v>23</v>
      </c>
      <c r="Z34" s="59">
        <f t="shared" si="14"/>
        <v>25</v>
      </c>
      <c r="AA34" s="59">
        <f t="shared" si="14"/>
        <v>27</v>
      </c>
      <c r="AB34" s="59">
        <f t="shared" si="14"/>
        <v>27</v>
      </c>
      <c r="AC34" s="59">
        <f t="shared" si="14"/>
        <v>0</v>
      </c>
      <c r="AD34" s="59">
        <f t="shared" si="14"/>
        <v>0</v>
      </c>
      <c r="AE34" s="59">
        <f t="shared" si="14"/>
        <v>0</v>
      </c>
      <c r="AF34" s="59">
        <f t="shared" si="14"/>
        <v>0</v>
      </c>
      <c r="AG34" s="259">
        <f t="shared" si="14"/>
        <v>27</v>
      </c>
      <c r="AH34" s="59">
        <f t="shared" si="14"/>
        <v>22</v>
      </c>
      <c r="AI34" s="59">
        <f t="shared" si="14"/>
        <v>27</v>
      </c>
      <c r="AJ34" s="59">
        <f t="shared" si="14"/>
        <v>28</v>
      </c>
      <c r="AK34" s="59">
        <f t="shared" si="14"/>
        <v>27</v>
      </c>
      <c r="AL34" s="59">
        <f t="shared" si="14"/>
        <v>27</v>
      </c>
      <c r="AM34" s="59">
        <f t="shared" si="14"/>
        <v>28</v>
      </c>
      <c r="AN34" s="59">
        <f t="shared" si="14"/>
        <v>0</v>
      </c>
      <c r="AO34" s="59">
        <f t="shared" si="14"/>
        <v>0</v>
      </c>
      <c r="AP34" s="59">
        <f t="shared" si="14"/>
        <v>0</v>
      </c>
      <c r="AQ34" s="59">
        <f t="shared" si="14"/>
        <v>0</v>
      </c>
      <c r="AR34" s="59">
        <f t="shared" si="14"/>
        <v>27</v>
      </c>
      <c r="AS34" s="59">
        <f t="shared" si="14"/>
        <v>27</v>
      </c>
      <c r="AT34" s="59">
        <f t="shared" si="14"/>
        <v>5</v>
      </c>
      <c r="AU34" s="59">
        <f t="shared" si="14"/>
        <v>0</v>
      </c>
      <c r="AV34" s="59">
        <f t="shared" si="14"/>
        <v>26</v>
      </c>
      <c r="AW34" s="59">
        <f t="shared" si="14"/>
        <v>26</v>
      </c>
      <c r="AX34" s="59">
        <f t="shared" si="14"/>
        <v>27</v>
      </c>
    </row>
    <row r="35" spans="2:50">
      <c r="B35" s="59">
        <v>80</v>
      </c>
      <c r="C35" s="59">
        <f t="shared" ref="C35:AX35" si="15">COUNTIF(C$4:C$31,"&gt;79")-C34-C33</f>
        <v>5</v>
      </c>
      <c r="D35" s="59">
        <f t="shared" si="15"/>
        <v>6</v>
      </c>
      <c r="E35" s="59">
        <f t="shared" si="15"/>
        <v>1</v>
      </c>
      <c r="F35" s="59">
        <f t="shared" si="15"/>
        <v>3</v>
      </c>
      <c r="G35" s="59">
        <f t="shared" si="15"/>
        <v>0</v>
      </c>
      <c r="H35" s="59">
        <f t="shared" si="15"/>
        <v>12</v>
      </c>
      <c r="I35" s="59">
        <f t="shared" si="15"/>
        <v>0</v>
      </c>
      <c r="J35" s="59">
        <f t="shared" si="15"/>
        <v>5</v>
      </c>
      <c r="K35" s="59">
        <f t="shared" si="15"/>
        <v>0</v>
      </c>
      <c r="L35" s="59">
        <f t="shared" si="15"/>
        <v>0</v>
      </c>
      <c r="M35" s="59">
        <f t="shared" si="15"/>
        <v>0</v>
      </c>
      <c r="N35" s="59">
        <f t="shared" si="15"/>
        <v>7</v>
      </c>
      <c r="O35" s="59">
        <f t="shared" si="15"/>
        <v>5</v>
      </c>
      <c r="P35" s="59">
        <f t="shared" si="15"/>
        <v>0</v>
      </c>
      <c r="Q35" s="59">
        <f t="shared" si="15"/>
        <v>4</v>
      </c>
      <c r="R35" s="59">
        <f t="shared" si="15"/>
        <v>1</v>
      </c>
      <c r="S35" s="59">
        <f t="shared" si="15"/>
        <v>0</v>
      </c>
      <c r="T35" s="59">
        <f t="shared" si="15"/>
        <v>13</v>
      </c>
      <c r="U35" s="59">
        <f t="shared" si="15"/>
        <v>3</v>
      </c>
      <c r="V35" s="59">
        <f t="shared" si="15"/>
        <v>0</v>
      </c>
      <c r="W35" s="59">
        <f t="shared" si="15"/>
        <v>2</v>
      </c>
      <c r="X35" s="59">
        <f t="shared" si="15"/>
        <v>1</v>
      </c>
      <c r="Y35" s="59">
        <f t="shared" si="15"/>
        <v>4</v>
      </c>
      <c r="Z35" s="59">
        <f t="shared" si="15"/>
        <v>2</v>
      </c>
      <c r="AA35" s="59">
        <f t="shared" si="15"/>
        <v>0</v>
      </c>
      <c r="AB35" s="59">
        <f t="shared" si="15"/>
        <v>0</v>
      </c>
      <c r="AC35" s="59">
        <f t="shared" si="15"/>
        <v>0</v>
      </c>
      <c r="AD35" s="59">
        <f t="shared" si="15"/>
        <v>0</v>
      </c>
      <c r="AE35" s="59">
        <f t="shared" si="15"/>
        <v>0</v>
      </c>
      <c r="AF35" s="59">
        <f t="shared" si="15"/>
        <v>0</v>
      </c>
      <c r="AG35" s="259">
        <f t="shared" si="15"/>
        <v>0</v>
      </c>
      <c r="AH35" s="59">
        <f t="shared" si="15"/>
        <v>6</v>
      </c>
      <c r="AI35" s="59">
        <f t="shared" si="15"/>
        <v>1</v>
      </c>
      <c r="AJ35" s="59">
        <f t="shared" si="15"/>
        <v>0</v>
      </c>
      <c r="AK35" s="59">
        <f t="shared" si="15"/>
        <v>1</v>
      </c>
      <c r="AL35" s="59">
        <f t="shared" si="15"/>
        <v>1</v>
      </c>
      <c r="AM35" s="59">
        <f t="shared" si="15"/>
        <v>0</v>
      </c>
      <c r="AN35" s="59">
        <f t="shared" si="15"/>
        <v>0</v>
      </c>
      <c r="AO35" s="59">
        <f t="shared" si="15"/>
        <v>0</v>
      </c>
      <c r="AP35" s="59">
        <f t="shared" si="15"/>
        <v>0</v>
      </c>
      <c r="AQ35" s="59">
        <f t="shared" si="15"/>
        <v>0</v>
      </c>
      <c r="AR35" s="59">
        <f t="shared" si="15"/>
        <v>1</v>
      </c>
      <c r="AS35" s="59">
        <f t="shared" si="15"/>
        <v>1</v>
      </c>
      <c r="AT35" s="59">
        <f t="shared" si="15"/>
        <v>0</v>
      </c>
      <c r="AU35" s="59">
        <f t="shared" si="15"/>
        <v>0</v>
      </c>
      <c r="AV35" s="59">
        <f t="shared" si="15"/>
        <v>1</v>
      </c>
      <c r="AW35" s="59">
        <f t="shared" si="15"/>
        <v>1</v>
      </c>
      <c r="AX35" s="59">
        <f t="shared" si="15"/>
        <v>0</v>
      </c>
    </row>
    <row r="36" spans="2:50">
      <c r="B36" s="59">
        <v>70</v>
      </c>
      <c r="C36" s="59">
        <f t="shared" ref="C36:AX36" si="16">COUNTIF(C$4:C$31,"&gt;69")-C35-C34-C33</f>
        <v>0</v>
      </c>
      <c r="D36" s="59">
        <f t="shared" si="16"/>
        <v>0</v>
      </c>
      <c r="E36" s="59">
        <f t="shared" si="16"/>
        <v>0</v>
      </c>
      <c r="F36" s="59">
        <f t="shared" si="16"/>
        <v>0</v>
      </c>
      <c r="G36" s="59">
        <f t="shared" si="16"/>
        <v>0</v>
      </c>
      <c r="H36" s="59">
        <f t="shared" si="16"/>
        <v>0</v>
      </c>
      <c r="I36" s="59">
        <f t="shared" si="16"/>
        <v>0</v>
      </c>
      <c r="J36" s="59">
        <f t="shared" si="16"/>
        <v>0</v>
      </c>
      <c r="K36" s="59">
        <f t="shared" si="16"/>
        <v>0</v>
      </c>
      <c r="L36" s="59">
        <f t="shared" si="16"/>
        <v>0</v>
      </c>
      <c r="M36" s="59">
        <f t="shared" si="16"/>
        <v>0</v>
      </c>
      <c r="N36" s="59">
        <f t="shared" si="16"/>
        <v>0</v>
      </c>
      <c r="O36" s="59">
        <f t="shared" si="16"/>
        <v>1</v>
      </c>
      <c r="P36" s="59">
        <f t="shared" si="16"/>
        <v>0</v>
      </c>
      <c r="Q36" s="59">
        <f t="shared" si="16"/>
        <v>0</v>
      </c>
      <c r="R36" s="59">
        <f t="shared" si="16"/>
        <v>0</v>
      </c>
      <c r="S36" s="59">
        <f t="shared" si="16"/>
        <v>0</v>
      </c>
      <c r="T36" s="59">
        <f t="shared" si="16"/>
        <v>0</v>
      </c>
      <c r="U36" s="59">
        <f t="shared" si="16"/>
        <v>0</v>
      </c>
      <c r="V36" s="59">
        <f t="shared" si="16"/>
        <v>0</v>
      </c>
      <c r="W36" s="59">
        <f t="shared" si="16"/>
        <v>0</v>
      </c>
      <c r="X36" s="59">
        <f t="shared" si="16"/>
        <v>0</v>
      </c>
      <c r="Y36" s="59">
        <f t="shared" si="16"/>
        <v>0</v>
      </c>
      <c r="Z36" s="59">
        <f t="shared" si="16"/>
        <v>0</v>
      </c>
      <c r="AA36" s="59">
        <f t="shared" si="16"/>
        <v>0</v>
      </c>
      <c r="AB36" s="59">
        <f t="shared" si="16"/>
        <v>0</v>
      </c>
      <c r="AC36" s="59">
        <f t="shared" si="16"/>
        <v>0</v>
      </c>
      <c r="AD36" s="59">
        <f t="shared" si="16"/>
        <v>0</v>
      </c>
      <c r="AE36" s="59">
        <f t="shared" si="16"/>
        <v>0</v>
      </c>
      <c r="AF36" s="59">
        <f t="shared" si="16"/>
        <v>0</v>
      </c>
      <c r="AG36" s="259">
        <f t="shared" si="16"/>
        <v>0</v>
      </c>
      <c r="AH36" s="59">
        <f t="shared" si="16"/>
        <v>0</v>
      </c>
      <c r="AI36" s="59">
        <f t="shared" si="16"/>
        <v>0</v>
      </c>
      <c r="AJ36" s="59">
        <f t="shared" si="16"/>
        <v>0</v>
      </c>
      <c r="AK36" s="59">
        <f t="shared" si="16"/>
        <v>0</v>
      </c>
      <c r="AL36" s="59">
        <f t="shared" si="16"/>
        <v>0</v>
      </c>
      <c r="AM36" s="59">
        <f t="shared" si="16"/>
        <v>0</v>
      </c>
      <c r="AN36" s="59">
        <f t="shared" si="16"/>
        <v>0</v>
      </c>
      <c r="AO36" s="59">
        <f t="shared" si="16"/>
        <v>0</v>
      </c>
      <c r="AP36" s="59">
        <f t="shared" si="16"/>
        <v>0</v>
      </c>
      <c r="AQ36" s="59">
        <f t="shared" si="16"/>
        <v>0</v>
      </c>
      <c r="AR36" s="59">
        <f t="shared" si="16"/>
        <v>0</v>
      </c>
      <c r="AS36" s="59">
        <f t="shared" si="16"/>
        <v>0</v>
      </c>
      <c r="AT36" s="59">
        <f t="shared" si="16"/>
        <v>0</v>
      </c>
      <c r="AU36" s="59">
        <f t="shared" si="16"/>
        <v>0</v>
      </c>
      <c r="AV36" s="59">
        <f t="shared" si="16"/>
        <v>0</v>
      </c>
      <c r="AW36" s="59">
        <f t="shared" si="16"/>
        <v>0</v>
      </c>
      <c r="AX36" s="59">
        <f t="shared" si="16"/>
        <v>0</v>
      </c>
    </row>
    <row r="37" spans="2:50">
      <c r="B37" s="59">
        <v>60</v>
      </c>
      <c r="C37" s="59">
        <f t="shared" ref="C37:AX37" si="17">COUNTIF(C$4:C$31,"&gt;59")-C36-C35-C34-C33</f>
        <v>0</v>
      </c>
      <c r="D37" s="59">
        <f t="shared" si="17"/>
        <v>0</v>
      </c>
      <c r="E37" s="59">
        <f t="shared" si="17"/>
        <v>0</v>
      </c>
      <c r="F37" s="59">
        <f t="shared" si="17"/>
        <v>0</v>
      </c>
      <c r="G37" s="59">
        <f t="shared" si="17"/>
        <v>0</v>
      </c>
      <c r="H37" s="59">
        <f t="shared" si="17"/>
        <v>0</v>
      </c>
      <c r="I37" s="59">
        <f t="shared" si="17"/>
        <v>0</v>
      </c>
      <c r="J37" s="59">
        <f t="shared" si="17"/>
        <v>0</v>
      </c>
      <c r="K37" s="59">
        <f t="shared" si="17"/>
        <v>0</v>
      </c>
      <c r="L37" s="59">
        <f t="shared" si="17"/>
        <v>0</v>
      </c>
      <c r="M37" s="59">
        <f t="shared" si="17"/>
        <v>0</v>
      </c>
      <c r="N37" s="59">
        <f t="shared" si="17"/>
        <v>0</v>
      </c>
      <c r="O37" s="59">
        <f t="shared" si="17"/>
        <v>0</v>
      </c>
      <c r="P37" s="59">
        <f t="shared" si="17"/>
        <v>0</v>
      </c>
      <c r="Q37" s="59">
        <f t="shared" si="17"/>
        <v>0</v>
      </c>
      <c r="R37" s="59">
        <f t="shared" si="17"/>
        <v>0</v>
      </c>
      <c r="S37" s="59">
        <f t="shared" si="17"/>
        <v>0</v>
      </c>
      <c r="T37" s="59">
        <f t="shared" si="17"/>
        <v>0</v>
      </c>
      <c r="U37" s="59">
        <f t="shared" si="17"/>
        <v>0</v>
      </c>
      <c r="V37" s="59">
        <f t="shared" si="17"/>
        <v>0</v>
      </c>
      <c r="W37" s="59">
        <f t="shared" si="17"/>
        <v>0</v>
      </c>
      <c r="X37" s="59">
        <f t="shared" si="17"/>
        <v>0</v>
      </c>
      <c r="Y37" s="59">
        <f t="shared" si="17"/>
        <v>0</v>
      </c>
      <c r="Z37" s="59">
        <f t="shared" si="17"/>
        <v>0</v>
      </c>
      <c r="AA37" s="59">
        <f t="shared" si="17"/>
        <v>0</v>
      </c>
      <c r="AB37" s="59">
        <f t="shared" si="17"/>
        <v>0</v>
      </c>
      <c r="AC37" s="59">
        <f t="shared" si="17"/>
        <v>0</v>
      </c>
      <c r="AD37" s="59">
        <f t="shared" si="17"/>
        <v>0</v>
      </c>
      <c r="AE37" s="59">
        <f t="shared" si="17"/>
        <v>0</v>
      </c>
      <c r="AF37" s="59">
        <f t="shared" si="17"/>
        <v>0</v>
      </c>
      <c r="AG37" s="259">
        <f t="shared" si="17"/>
        <v>0</v>
      </c>
      <c r="AH37" s="59">
        <f t="shared" si="17"/>
        <v>0</v>
      </c>
      <c r="AI37" s="59">
        <f t="shared" si="17"/>
        <v>0</v>
      </c>
      <c r="AJ37" s="59">
        <f t="shared" si="17"/>
        <v>0</v>
      </c>
      <c r="AK37" s="59">
        <f t="shared" si="17"/>
        <v>0</v>
      </c>
      <c r="AL37" s="59">
        <f t="shared" si="17"/>
        <v>0</v>
      </c>
      <c r="AM37" s="59">
        <f t="shared" si="17"/>
        <v>0</v>
      </c>
      <c r="AN37" s="59">
        <f t="shared" si="17"/>
        <v>0</v>
      </c>
      <c r="AO37" s="59">
        <f t="shared" si="17"/>
        <v>0</v>
      </c>
      <c r="AP37" s="59">
        <f t="shared" si="17"/>
        <v>0</v>
      </c>
      <c r="AQ37" s="59">
        <f t="shared" si="17"/>
        <v>0</v>
      </c>
      <c r="AR37" s="59">
        <f t="shared" si="17"/>
        <v>0</v>
      </c>
      <c r="AS37" s="59">
        <f t="shared" si="17"/>
        <v>0</v>
      </c>
      <c r="AT37" s="59">
        <f t="shared" si="17"/>
        <v>0</v>
      </c>
      <c r="AU37" s="59">
        <f t="shared" si="17"/>
        <v>0</v>
      </c>
      <c r="AV37" s="59">
        <f t="shared" si="17"/>
        <v>0</v>
      </c>
      <c r="AW37" s="59">
        <f t="shared" si="17"/>
        <v>0</v>
      </c>
      <c r="AX37" s="59">
        <f t="shared" si="17"/>
        <v>0</v>
      </c>
    </row>
    <row r="38" spans="2:50">
      <c r="B38" s="59" t="s">
        <v>215</v>
      </c>
      <c r="C38" s="59">
        <f t="shared" ref="C38:AX38" si="18">28-C37-C36-C35-C34-C33</f>
        <v>1</v>
      </c>
      <c r="D38" s="59">
        <f t="shared" si="18"/>
        <v>1</v>
      </c>
      <c r="E38" s="59">
        <f t="shared" si="18"/>
        <v>1</v>
      </c>
      <c r="F38" s="59">
        <f t="shared" si="18"/>
        <v>1</v>
      </c>
      <c r="G38" s="59">
        <f t="shared" si="18"/>
        <v>28</v>
      </c>
      <c r="H38" s="59">
        <f t="shared" si="18"/>
        <v>1</v>
      </c>
      <c r="I38" s="59">
        <f t="shared" si="18"/>
        <v>1</v>
      </c>
      <c r="J38" s="59">
        <f t="shared" si="18"/>
        <v>1</v>
      </c>
      <c r="K38" s="59">
        <f t="shared" si="18"/>
        <v>1</v>
      </c>
      <c r="L38" s="59">
        <f t="shared" si="18"/>
        <v>1</v>
      </c>
      <c r="M38" s="59">
        <f t="shared" si="18"/>
        <v>1</v>
      </c>
      <c r="N38" s="59">
        <f t="shared" si="18"/>
        <v>1</v>
      </c>
      <c r="O38" s="59">
        <f t="shared" si="18"/>
        <v>1</v>
      </c>
      <c r="P38" s="59">
        <f t="shared" si="18"/>
        <v>1</v>
      </c>
      <c r="Q38" s="59">
        <f t="shared" si="18"/>
        <v>1</v>
      </c>
      <c r="R38" s="59">
        <f t="shared" si="18"/>
        <v>1</v>
      </c>
      <c r="S38" s="59">
        <f t="shared" si="18"/>
        <v>1</v>
      </c>
      <c r="T38" s="59">
        <f t="shared" si="18"/>
        <v>1</v>
      </c>
      <c r="U38" s="59">
        <f t="shared" si="18"/>
        <v>1</v>
      </c>
      <c r="V38" s="59">
        <f t="shared" si="18"/>
        <v>28</v>
      </c>
      <c r="W38" s="59">
        <f t="shared" si="18"/>
        <v>1</v>
      </c>
      <c r="X38" s="59">
        <f t="shared" si="18"/>
        <v>1</v>
      </c>
      <c r="Y38" s="59">
        <f t="shared" si="18"/>
        <v>1</v>
      </c>
      <c r="Z38" s="59">
        <f t="shared" si="18"/>
        <v>1</v>
      </c>
      <c r="AA38" s="59">
        <f t="shared" si="18"/>
        <v>1</v>
      </c>
      <c r="AB38" s="59">
        <f t="shared" si="18"/>
        <v>1</v>
      </c>
      <c r="AC38" s="59">
        <f t="shared" si="18"/>
        <v>28</v>
      </c>
      <c r="AD38" s="59">
        <f t="shared" si="18"/>
        <v>28</v>
      </c>
      <c r="AE38" s="59">
        <f t="shared" si="18"/>
        <v>28</v>
      </c>
      <c r="AF38" s="59">
        <f t="shared" si="18"/>
        <v>28</v>
      </c>
      <c r="AG38" s="259">
        <f t="shared" si="18"/>
        <v>1</v>
      </c>
      <c r="AH38" s="59">
        <f t="shared" si="18"/>
        <v>0</v>
      </c>
      <c r="AI38" s="59">
        <f t="shared" si="18"/>
        <v>0</v>
      </c>
      <c r="AJ38" s="59">
        <f t="shared" si="18"/>
        <v>0</v>
      </c>
      <c r="AK38" s="59">
        <f t="shared" si="18"/>
        <v>0</v>
      </c>
      <c r="AL38" s="59">
        <f t="shared" si="18"/>
        <v>0</v>
      </c>
      <c r="AM38" s="59">
        <f t="shared" si="18"/>
        <v>0</v>
      </c>
      <c r="AN38" s="59">
        <f t="shared" si="18"/>
        <v>28</v>
      </c>
      <c r="AO38" s="59">
        <f t="shared" si="18"/>
        <v>28</v>
      </c>
      <c r="AP38" s="59">
        <f t="shared" si="18"/>
        <v>28</v>
      </c>
      <c r="AQ38" s="59">
        <f t="shared" si="18"/>
        <v>28</v>
      </c>
      <c r="AR38" s="59">
        <f t="shared" si="18"/>
        <v>0</v>
      </c>
      <c r="AS38" s="59">
        <f t="shared" si="18"/>
        <v>0</v>
      </c>
      <c r="AT38" s="59">
        <f t="shared" si="18"/>
        <v>23</v>
      </c>
      <c r="AU38" s="59">
        <f t="shared" si="18"/>
        <v>28</v>
      </c>
      <c r="AV38" s="59">
        <f t="shared" si="18"/>
        <v>1</v>
      </c>
      <c r="AW38" s="59">
        <f t="shared" si="18"/>
        <v>1</v>
      </c>
      <c r="AX38" s="59">
        <f t="shared" si="18"/>
        <v>1</v>
      </c>
    </row>
    <row r="39" spans="2:50" ht="14.25">
      <c r="B39" s="62" t="s">
        <v>216</v>
      </c>
      <c r="C39" s="59">
        <f>SUM(C33:C38)</f>
        <v>28</v>
      </c>
      <c r="D39" s="59">
        <f t="shared" ref="D39:AX39" si="19">SUM(D33:D38)</f>
        <v>28</v>
      </c>
      <c r="E39" s="59">
        <f t="shared" si="19"/>
        <v>28</v>
      </c>
      <c r="F39" s="59">
        <f t="shared" si="19"/>
        <v>28</v>
      </c>
      <c r="G39" s="59">
        <f t="shared" si="19"/>
        <v>28</v>
      </c>
      <c r="H39" s="59">
        <f t="shared" si="19"/>
        <v>28</v>
      </c>
      <c r="I39" s="59">
        <f t="shared" si="19"/>
        <v>28</v>
      </c>
      <c r="J39" s="59">
        <f t="shared" si="19"/>
        <v>28</v>
      </c>
      <c r="K39" s="59">
        <f t="shared" si="19"/>
        <v>28</v>
      </c>
      <c r="L39" s="59">
        <f t="shared" si="19"/>
        <v>28</v>
      </c>
      <c r="M39" s="59">
        <f t="shared" si="19"/>
        <v>28</v>
      </c>
      <c r="N39" s="59">
        <f t="shared" si="19"/>
        <v>28</v>
      </c>
      <c r="O39" s="59">
        <f t="shared" si="19"/>
        <v>28</v>
      </c>
      <c r="P39" s="59">
        <f t="shared" si="19"/>
        <v>28</v>
      </c>
      <c r="Q39" s="59">
        <f t="shared" si="19"/>
        <v>28</v>
      </c>
      <c r="R39" s="59">
        <f t="shared" si="19"/>
        <v>28</v>
      </c>
      <c r="S39" s="59">
        <f t="shared" si="19"/>
        <v>28</v>
      </c>
      <c r="T39" s="59">
        <f t="shared" si="19"/>
        <v>28</v>
      </c>
      <c r="U39" s="59">
        <f t="shared" si="19"/>
        <v>28</v>
      </c>
      <c r="V39" s="59">
        <f t="shared" si="19"/>
        <v>28</v>
      </c>
      <c r="W39" s="59">
        <f t="shared" si="19"/>
        <v>28</v>
      </c>
      <c r="X39" s="59">
        <f t="shared" si="19"/>
        <v>28</v>
      </c>
      <c r="Y39" s="59">
        <f t="shared" si="19"/>
        <v>28</v>
      </c>
      <c r="Z39" s="59">
        <f t="shared" si="19"/>
        <v>28</v>
      </c>
      <c r="AA39" s="59">
        <f t="shared" si="19"/>
        <v>28</v>
      </c>
      <c r="AB39" s="59">
        <f t="shared" si="19"/>
        <v>28</v>
      </c>
      <c r="AC39" s="59">
        <f t="shared" si="19"/>
        <v>28</v>
      </c>
      <c r="AD39" s="59">
        <f t="shared" si="19"/>
        <v>28</v>
      </c>
      <c r="AE39" s="59">
        <f t="shared" si="19"/>
        <v>28</v>
      </c>
      <c r="AF39" s="59">
        <f t="shared" si="19"/>
        <v>28</v>
      </c>
      <c r="AG39" s="59">
        <f t="shared" si="19"/>
        <v>28</v>
      </c>
      <c r="AH39" s="59">
        <f t="shared" si="19"/>
        <v>28</v>
      </c>
      <c r="AI39" s="59">
        <f t="shared" si="19"/>
        <v>28</v>
      </c>
      <c r="AJ39" s="59">
        <f t="shared" si="19"/>
        <v>28</v>
      </c>
      <c r="AK39" s="59">
        <f t="shared" si="19"/>
        <v>28</v>
      </c>
      <c r="AL39" s="59">
        <f t="shared" si="19"/>
        <v>28</v>
      </c>
      <c r="AM39" s="59">
        <f t="shared" si="19"/>
        <v>28</v>
      </c>
      <c r="AN39" s="59">
        <f t="shared" si="19"/>
        <v>28</v>
      </c>
      <c r="AO39" s="59">
        <f t="shared" si="19"/>
        <v>28</v>
      </c>
      <c r="AP39" s="59">
        <f t="shared" si="19"/>
        <v>28</v>
      </c>
      <c r="AQ39" s="59">
        <f t="shared" si="19"/>
        <v>28</v>
      </c>
      <c r="AR39" s="59">
        <f t="shared" si="19"/>
        <v>28</v>
      </c>
      <c r="AS39" s="59">
        <f t="shared" si="19"/>
        <v>28</v>
      </c>
      <c r="AT39" s="59">
        <f t="shared" si="19"/>
        <v>28</v>
      </c>
      <c r="AU39" s="59">
        <f t="shared" si="19"/>
        <v>28</v>
      </c>
      <c r="AV39" s="59">
        <f t="shared" si="19"/>
        <v>28</v>
      </c>
      <c r="AW39" s="59">
        <f t="shared" si="19"/>
        <v>28</v>
      </c>
      <c r="AX39" s="59">
        <f t="shared" si="19"/>
        <v>28</v>
      </c>
    </row>
  </sheetData>
  <mergeCells count="7">
    <mergeCell ref="AV2:AX2"/>
    <mergeCell ref="A1:AG1"/>
    <mergeCell ref="AH1:AQ1"/>
    <mergeCell ref="A2:B2"/>
    <mergeCell ref="C2:L2"/>
    <mergeCell ref="AR2:AS2"/>
    <mergeCell ref="AT2:AU2"/>
  </mergeCells>
  <phoneticPr fontId="2" type="noConversion"/>
  <pageMargins left="0.19685039370078741" right="0.19685039370078741" top="0.59055118110236227" bottom="0.39370078740157483" header="0" footer="0"/>
  <pageSetup paperSize="9" firstPageNumber="0" fitToWidth="0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X39"/>
  <sheetViews>
    <sheetView zoomScaleNormal="100" workbookViewId="0">
      <selection activeCell="J9" sqref="J9"/>
    </sheetView>
  </sheetViews>
  <sheetFormatPr defaultRowHeight="12.75"/>
  <cols>
    <col min="1" max="1" width="2.875" style="59" customWidth="1"/>
    <col min="2" max="2" width="7" style="59" customWidth="1"/>
    <col min="3" max="43" width="3.375" style="59" customWidth="1"/>
    <col min="44" max="49" width="4.625" style="59" customWidth="1"/>
    <col min="50" max="50" width="6.625" style="59" customWidth="1"/>
    <col min="51" max="16384" width="9" style="59"/>
  </cols>
  <sheetData>
    <row r="1" spans="1:50" ht="15" thickBot="1">
      <c r="A1" s="500" t="s">
        <v>204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483" t="s">
        <v>555</v>
      </c>
      <c r="AI1" s="484"/>
      <c r="AJ1" s="484"/>
      <c r="AK1" s="484"/>
      <c r="AL1" s="484"/>
      <c r="AM1" s="484"/>
      <c r="AN1" s="484"/>
      <c r="AO1" s="484"/>
      <c r="AP1" s="484"/>
      <c r="AQ1" s="485"/>
      <c r="AR1" s="213"/>
      <c r="AS1" s="213"/>
      <c r="AT1" s="213"/>
      <c r="AU1" s="213"/>
      <c r="AV1" s="213"/>
      <c r="AW1" s="213"/>
      <c r="AX1" s="213"/>
    </row>
    <row r="2" spans="1:50" ht="15.75" thickTop="1" thickBot="1">
      <c r="A2" s="500">
        <v>307</v>
      </c>
      <c r="B2" s="489"/>
      <c r="C2" s="381"/>
      <c r="D2" s="382">
        <v>44098</v>
      </c>
      <c r="E2" s="382"/>
      <c r="F2" s="382"/>
      <c r="G2" s="382"/>
      <c r="H2" s="382"/>
      <c r="I2" s="382"/>
      <c r="J2" s="382"/>
      <c r="K2" s="382"/>
      <c r="L2" s="383"/>
      <c r="M2" s="252">
        <v>43539</v>
      </c>
      <c r="N2" s="252">
        <v>43536</v>
      </c>
      <c r="O2" s="252"/>
      <c r="P2" s="252"/>
      <c r="Q2" s="252"/>
      <c r="R2" s="252"/>
      <c r="S2" s="252"/>
      <c r="T2" s="252"/>
      <c r="U2" s="252"/>
      <c r="V2" s="252"/>
      <c r="W2" s="252"/>
      <c r="X2" s="252">
        <v>43777</v>
      </c>
      <c r="Y2" s="253">
        <v>43832</v>
      </c>
      <c r="Z2" s="254"/>
      <c r="AA2" s="254"/>
      <c r="AB2" s="254"/>
      <c r="AC2" s="254"/>
      <c r="AD2" s="254"/>
      <c r="AE2" s="254"/>
      <c r="AF2" s="254"/>
      <c r="AG2" s="254"/>
      <c r="AH2" s="252">
        <v>43895</v>
      </c>
      <c r="AI2" s="252">
        <v>43909</v>
      </c>
      <c r="AJ2" s="252">
        <v>43910</v>
      </c>
      <c r="AK2" s="254"/>
      <c r="AL2" s="254"/>
      <c r="AM2" s="298">
        <v>44001</v>
      </c>
      <c r="AN2" s="298">
        <v>43961</v>
      </c>
      <c r="AO2" s="254"/>
      <c r="AP2" s="254"/>
      <c r="AQ2" s="254"/>
      <c r="AR2" s="491" t="s">
        <v>207</v>
      </c>
      <c r="AS2" s="491"/>
      <c r="AT2" s="491" t="s">
        <v>208</v>
      </c>
      <c r="AU2" s="491"/>
      <c r="AV2" s="491" t="s">
        <v>209</v>
      </c>
      <c r="AW2" s="491"/>
      <c r="AX2" s="491"/>
    </row>
    <row r="3" spans="1:50" ht="15" thickTop="1">
      <c r="A3" s="214" t="s">
        <v>210</v>
      </c>
      <c r="B3" s="214" t="s">
        <v>0</v>
      </c>
      <c r="C3" s="255" t="s">
        <v>991</v>
      </c>
      <c r="D3" s="256" t="s">
        <v>990</v>
      </c>
      <c r="E3" s="255" t="s">
        <v>308</v>
      </c>
      <c r="F3" s="237" t="s">
        <v>309</v>
      </c>
      <c r="G3" s="236"/>
      <c r="H3" s="237" t="s">
        <v>355</v>
      </c>
      <c r="I3" s="236" t="s">
        <v>356</v>
      </c>
      <c r="J3" s="237" t="s">
        <v>357</v>
      </c>
      <c r="K3" s="236" t="s">
        <v>358</v>
      </c>
      <c r="L3" s="237" t="s">
        <v>359</v>
      </c>
      <c r="M3" s="237" t="s">
        <v>420</v>
      </c>
      <c r="N3" s="237" t="s">
        <v>421</v>
      </c>
      <c r="O3" s="237" t="s">
        <v>422</v>
      </c>
      <c r="P3" s="237" t="s">
        <v>423</v>
      </c>
      <c r="Q3" s="213"/>
      <c r="R3" s="237" t="s">
        <v>427</v>
      </c>
      <c r="S3" s="213" t="s">
        <v>425</v>
      </c>
      <c r="T3" s="213"/>
      <c r="U3" s="237" t="s">
        <v>426</v>
      </c>
      <c r="V3" s="213"/>
      <c r="W3" s="213"/>
      <c r="X3" s="237" t="s">
        <v>485</v>
      </c>
      <c r="Y3" s="213">
        <v>14</v>
      </c>
      <c r="Z3" s="237" t="s">
        <v>525</v>
      </c>
      <c r="AA3" s="237" t="s">
        <v>526</v>
      </c>
      <c r="AB3" s="237" t="s">
        <v>529</v>
      </c>
      <c r="AC3" s="213"/>
      <c r="AD3" s="213"/>
      <c r="AE3" s="213"/>
      <c r="AF3" s="213"/>
      <c r="AG3" s="213">
        <f>AVERAGE(X3:AB3)</f>
        <v>14</v>
      </c>
      <c r="AH3" s="237" t="s">
        <v>554</v>
      </c>
      <c r="AI3" s="274" t="s">
        <v>564</v>
      </c>
      <c r="AJ3" s="275" t="s">
        <v>573</v>
      </c>
      <c r="AK3" s="275" t="s">
        <v>575</v>
      </c>
      <c r="AL3" s="285" t="s">
        <v>619</v>
      </c>
      <c r="AM3" s="305" t="s">
        <v>618</v>
      </c>
      <c r="AN3" s="285" t="s">
        <v>621</v>
      </c>
      <c r="AO3" s="293" t="s">
        <v>622</v>
      </c>
      <c r="AP3" s="213" t="s">
        <v>623</v>
      </c>
      <c r="AQ3" s="213"/>
      <c r="AR3" s="237" t="s">
        <v>211</v>
      </c>
      <c r="AS3" s="237" t="s">
        <v>212</v>
      </c>
      <c r="AT3" s="237" t="s">
        <v>211</v>
      </c>
      <c r="AU3" s="237" t="s">
        <v>212</v>
      </c>
      <c r="AV3" s="237" t="s">
        <v>211</v>
      </c>
      <c r="AW3" s="237" t="s">
        <v>212</v>
      </c>
      <c r="AX3" s="237" t="s">
        <v>213</v>
      </c>
    </row>
    <row r="4" spans="1:50" ht="18.75" customHeight="1">
      <c r="A4" s="147">
        <v>1</v>
      </c>
      <c r="B4" s="135" t="str">
        <f>VLOOKUP(A4,緊急聯絡!A$2:C$27,3,0)</f>
        <v>陳威劭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57"/>
      <c r="AH4" s="213"/>
      <c r="AI4" s="213"/>
      <c r="AJ4" s="213"/>
      <c r="AK4" s="213"/>
      <c r="AL4" s="213"/>
      <c r="AM4" s="307"/>
      <c r="AN4" s="213"/>
      <c r="AO4" s="213"/>
      <c r="AP4" s="213"/>
      <c r="AQ4" s="213"/>
      <c r="AR4" s="213" t="e">
        <f>AVERAGE(AH4:AJ4)</f>
        <v>#DIV/0!</v>
      </c>
      <c r="AS4" s="213" t="e">
        <f>AVERAGE(AM4:AP4)</f>
        <v>#DIV/0!</v>
      </c>
      <c r="AT4" s="218"/>
      <c r="AU4" s="213"/>
      <c r="AV4" s="213" t="e">
        <f>AVERAGE(AR4,AT4)</f>
        <v>#DIV/0!</v>
      </c>
      <c r="AW4" s="213" t="e">
        <f>AVERAGE(AS4,AU4)</f>
        <v>#DIV/0!</v>
      </c>
      <c r="AX4" s="213" t="e">
        <f>AVERAGE(AV4:AW4)</f>
        <v>#DIV/0!</v>
      </c>
    </row>
    <row r="5" spans="1:50" ht="18.75" customHeight="1">
      <c r="A5" s="147">
        <v>2</v>
      </c>
      <c r="B5" s="135" t="str">
        <f>VLOOKUP(A5,緊急聯絡!A$2:C$27,3,0)</f>
        <v>周宗慶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4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57"/>
      <c r="AH5" s="213"/>
      <c r="AI5" s="213"/>
      <c r="AJ5" s="213"/>
      <c r="AK5" s="213"/>
      <c r="AL5" s="213"/>
      <c r="AM5" s="307"/>
      <c r="AN5" s="213"/>
      <c r="AO5" s="213"/>
      <c r="AP5" s="213"/>
      <c r="AQ5" s="213"/>
      <c r="AR5" s="213" t="e">
        <f t="shared" ref="AR5:AR31" si="0">AVERAGE(AH5:AJ5)</f>
        <v>#DIV/0!</v>
      </c>
      <c r="AS5" s="213" t="e">
        <f t="shared" ref="AS5:AS31" si="1">AVERAGE(AM5:AP5)</f>
        <v>#DIV/0!</v>
      </c>
      <c r="AT5" s="218"/>
      <c r="AU5" s="213"/>
      <c r="AV5" s="213" t="e">
        <f t="shared" ref="AV5:AW26" si="2">AVERAGE(AR5,AT5)</f>
        <v>#DIV/0!</v>
      </c>
      <c r="AW5" s="213" t="e">
        <f t="shared" si="2"/>
        <v>#DIV/0!</v>
      </c>
      <c r="AX5" s="213" t="e">
        <f t="shared" ref="AX5:AX30" si="3">AVERAGE(AV5:AW5)</f>
        <v>#DIV/0!</v>
      </c>
    </row>
    <row r="6" spans="1:50" ht="18.75" customHeight="1">
      <c r="A6" s="147">
        <v>3</v>
      </c>
      <c r="B6" s="135" t="str">
        <f>VLOOKUP(A6,緊急聯絡!A$2:C$27,3,0)</f>
        <v>林昱任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4"/>
      <c r="N6" s="213"/>
      <c r="O6" s="213"/>
      <c r="P6" s="213"/>
      <c r="Q6" s="213"/>
      <c r="R6" s="213"/>
      <c r="S6" s="213"/>
      <c r="T6" s="213"/>
      <c r="U6" s="213"/>
      <c r="V6" s="258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57"/>
      <c r="AH6" s="213"/>
      <c r="AI6" s="213"/>
      <c r="AJ6" s="213"/>
      <c r="AK6" s="213"/>
      <c r="AL6" s="213"/>
      <c r="AM6" s="307"/>
      <c r="AN6" s="213"/>
      <c r="AO6" s="213"/>
      <c r="AP6" s="213"/>
      <c r="AQ6" s="213"/>
      <c r="AR6" s="213" t="e">
        <f t="shared" si="0"/>
        <v>#DIV/0!</v>
      </c>
      <c r="AS6" s="213" t="e">
        <f t="shared" si="1"/>
        <v>#DIV/0!</v>
      </c>
      <c r="AT6" s="218"/>
      <c r="AU6" s="213"/>
      <c r="AV6" s="213" t="e">
        <f t="shared" si="2"/>
        <v>#DIV/0!</v>
      </c>
      <c r="AW6" s="213" t="e">
        <f t="shared" si="2"/>
        <v>#DIV/0!</v>
      </c>
      <c r="AX6" s="213" t="e">
        <f t="shared" si="3"/>
        <v>#DIV/0!</v>
      </c>
    </row>
    <row r="7" spans="1:50" ht="18.75" customHeight="1">
      <c r="A7" s="147">
        <v>4</v>
      </c>
      <c r="B7" s="135" t="str">
        <f>VLOOKUP(A7,緊急聯絡!A$2:C$27,3,0)</f>
        <v>李奎煜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4"/>
      <c r="N7" s="213"/>
      <c r="O7" s="213"/>
      <c r="P7" s="213"/>
      <c r="Q7" s="213"/>
      <c r="R7" s="213"/>
      <c r="S7" s="213"/>
      <c r="T7" s="213"/>
      <c r="U7" s="213"/>
      <c r="V7" s="258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57"/>
      <c r="AH7" s="213"/>
      <c r="AI7" s="213"/>
      <c r="AJ7" s="213"/>
      <c r="AK7" s="213"/>
      <c r="AL7" s="213"/>
      <c r="AM7" s="307"/>
      <c r="AN7" s="213"/>
      <c r="AO7" s="213"/>
      <c r="AP7" s="213"/>
      <c r="AQ7" s="213"/>
      <c r="AR7" s="213" t="e">
        <f t="shared" si="0"/>
        <v>#DIV/0!</v>
      </c>
      <c r="AS7" s="213" t="e">
        <f t="shared" si="1"/>
        <v>#DIV/0!</v>
      </c>
      <c r="AT7" s="218"/>
      <c r="AU7" s="213"/>
      <c r="AV7" s="213" t="e">
        <f t="shared" si="2"/>
        <v>#DIV/0!</v>
      </c>
      <c r="AW7" s="213" t="e">
        <f t="shared" si="2"/>
        <v>#DIV/0!</v>
      </c>
      <c r="AX7" s="213" t="e">
        <f t="shared" si="3"/>
        <v>#DIV/0!</v>
      </c>
    </row>
    <row r="8" spans="1:50" ht="18.75" customHeight="1">
      <c r="A8" s="147">
        <v>5</v>
      </c>
      <c r="B8" s="135" t="str">
        <f>VLOOKUP(A8,緊急聯絡!A$2:C$27,3,0)</f>
        <v>葉翃均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4"/>
      <c r="N8" s="213"/>
      <c r="O8" s="213"/>
      <c r="P8" s="213"/>
      <c r="Q8" s="213"/>
      <c r="R8" s="213"/>
      <c r="S8" s="213"/>
      <c r="T8" s="213"/>
      <c r="U8" s="213"/>
      <c r="V8" s="258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57"/>
      <c r="AH8" s="213"/>
      <c r="AI8" s="213"/>
      <c r="AJ8" s="213"/>
      <c r="AK8" s="213"/>
      <c r="AL8" s="213"/>
      <c r="AM8" s="307"/>
      <c r="AN8" s="213"/>
      <c r="AO8" s="213"/>
      <c r="AP8" s="213"/>
      <c r="AQ8" s="213"/>
      <c r="AR8" s="213" t="e">
        <f t="shared" si="0"/>
        <v>#DIV/0!</v>
      </c>
      <c r="AS8" s="213" t="e">
        <f t="shared" si="1"/>
        <v>#DIV/0!</v>
      </c>
      <c r="AT8" s="218"/>
      <c r="AU8" s="213"/>
      <c r="AV8" s="213" t="e">
        <f t="shared" si="2"/>
        <v>#DIV/0!</v>
      </c>
      <c r="AW8" s="213" t="e">
        <f t="shared" si="2"/>
        <v>#DIV/0!</v>
      </c>
      <c r="AX8" s="213" t="e">
        <f t="shared" si="3"/>
        <v>#DIV/0!</v>
      </c>
    </row>
    <row r="9" spans="1:50" ht="18.75" customHeight="1">
      <c r="A9" s="147">
        <v>6</v>
      </c>
      <c r="B9" s="135" t="str">
        <f>VLOOKUP(A9,緊急聯絡!A$2:C$27,3,0)</f>
        <v>王奕勳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4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57"/>
      <c r="AH9" s="213"/>
      <c r="AI9" s="213"/>
      <c r="AJ9" s="213"/>
      <c r="AK9" s="213"/>
      <c r="AL9" s="213"/>
      <c r="AM9" s="307"/>
      <c r="AN9" s="213"/>
      <c r="AO9" s="213"/>
      <c r="AP9" s="213"/>
      <c r="AQ9" s="213"/>
      <c r="AR9" s="213" t="e">
        <f t="shared" si="0"/>
        <v>#DIV/0!</v>
      </c>
      <c r="AS9" s="213" t="e">
        <f t="shared" si="1"/>
        <v>#DIV/0!</v>
      </c>
      <c r="AT9" s="218"/>
      <c r="AU9" s="213"/>
      <c r="AV9" s="213" t="e">
        <f t="shared" si="2"/>
        <v>#DIV/0!</v>
      </c>
      <c r="AW9" s="213" t="e">
        <f t="shared" si="2"/>
        <v>#DIV/0!</v>
      </c>
      <c r="AX9" s="213" t="e">
        <f t="shared" si="3"/>
        <v>#DIV/0!</v>
      </c>
    </row>
    <row r="10" spans="1:50" ht="18.75" customHeight="1">
      <c r="A10" s="147">
        <v>7</v>
      </c>
      <c r="B10" s="135" t="str">
        <f>VLOOKUP(A10,緊急聯絡!A$2:C$27,3,0)</f>
        <v>葉彥均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4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57"/>
      <c r="AH10" s="213"/>
      <c r="AI10" s="213"/>
      <c r="AJ10" s="213"/>
      <c r="AK10" s="213"/>
      <c r="AL10" s="213"/>
      <c r="AM10" s="307"/>
      <c r="AN10" s="213"/>
      <c r="AO10" s="213"/>
      <c r="AP10" s="213"/>
      <c r="AQ10" s="213"/>
      <c r="AR10" s="213" t="e">
        <f t="shared" si="0"/>
        <v>#DIV/0!</v>
      </c>
      <c r="AS10" s="213" t="e">
        <f t="shared" si="1"/>
        <v>#DIV/0!</v>
      </c>
      <c r="AT10" s="218"/>
      <c r="AU10" s="213"/>
      <c r="AV10" s="213" t="e">
        <f t="shared" si="2"/>
        <v>#DIV/0!</v>
      </c>
      <c r="AW10" s="213" t="e">
        <f t="shared" si="2"/>
        <v>#DIV/0!</v>
      </c>
      <c r="AX10" s="213" t="e">
        <f t="shared" si="3"/>
        <v>#DIV/0!</v>
      </c>
    </row>
    <row r="11" spans="1:50" ht="18.75" customHeight="1">
      <c r="A11" s="147">
        <v>8</v>
      </c>
      <c r="B11" s="135" t="str">
        <f>VLOOKUP(A11,緊急聯絡!A$2:C$27,3,0)</f>
        <v>洪楷珅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4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57"/>
      <c r="AH11" s="213"/>
      <c r="AI11" s="213"/>
      <c r="AJ11" s="213"/>
      <c r="AK11" s="213"/>
      <c r="AL11" s="213"/>
      <c r="AM11" s="307"/>
      <c r="AN11" s="213"/>
      <c r="AO11" s="213"/>
      <c r="AP11" s="213"/>
      <c r="AQ11" s="213"/>
      <c r="AR11" s="213" t="e">
        <f t="shared" si="0"/>
        <v>#DIV/0!</v>
      </c>
      <c r="AS11" s="213" t="e">
        <f t="shared" si="1"/>
        <v>#DIV/0!</v>
      </c>
      <c r="AT11" s="218"/>
      <c r="AU11" s="213"/>
      <c r="AV11" s="213" t="e">
        <f t="shared" si="2"/>
        <v>#DIV/0!</v>
      </c>
      <c r="AW11" s="213" t="e">
        <f t="shared" si="2"/>
        <v>#DIV/0!</v>
      </c>
      <c r="AX11" s="213" t="e">
        <f t="shared" si="3"/>
        <v>#DIV/0!</v>
      </c>
    </row>
    <row r="12" spans="1:50" ht="18.75" customHeight="1">
      <c r="A12" s="147">
        <v>9</v>
      </c>
      <c r="B12" s="135" t="str">
        <f>VLOOKUP(A12,緊急聯絡!A$2:C$27,3,0)</f>
        <v>吳承哲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4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57"/>
      <c r="AH12" s="213"/>
      <c r="AI12" s="213"/>
      <c r="AJ12" s="213"/>
      <c r="AK12" s="213"/>
      <c r="AL12" s="213"/>
      <c r="AM12" s="307"/>
      <c r="AN12" s="213"/>
      <c r="AO12" s="213"/>
      <c r="AP12" s="213"/>
      <c r="AQ12" s="213"/>
      <c r="AR12" s="213" t="e">
        <f t="shared" si="0"/>
        <v>#DIV/0!</v>
      </c>
      <c r="AS12" s="213" t="e">
        <f t="shared" si="1"/>
        <v>#DIV/0!</v>
      </c>
      <c r="AT12" s="218"/>
      <c r="AU12" s="213"/>
      <c r="AV12" s="213" t="e">
        <f t="shared" si="2"/>
        <v>#DIV/0!</v>
      </c>
      <c r="AW12" s="213" t="e">
        <f t="shared" si="2"/>
        <v>#DIV/0!</v>
      </c>
      <c r="AX12" s="213" t="e">
        <f t="shared" si="3"/>
        <v>#DIV/0!</v>
      </c>
    </row>
    <row r="13" spans="1:50" ht="18.75" customHeight="1">
      <c r="A13" s="147">
        <v>10</v>
      </c>
      <c r="B13" s="135" t="str">
        <f>VLOOKUP(A13,緊急聯絡!A$2:C$27,3,0)</f>
        <v>李宥霆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4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57"/>
      <c r="AH13" s="213"/>
      <c r="AI13" s="213"/>
      <c r="AJ13" s="213"/>
      <c r="AK13" s="213"/>
      <c r="AL13" s="213"/>
      <c r="AM13" s="307"/>
      <c r="AN13" s="213"/>
      <c r="AO13" s="213"/>
      <c r="AP13" s="213"/>
      <c r="AQ13" s="213"/>
      <c r="AR13" s="213" t="e">
        <f t="shared" si="0"/>
        <v>#DIV/0!</v>
      </c>
      <c r="AS13" s="213" t="e">
        <f t="shared" si="1"/>
        <v>#DIV/0!</v>
      </c>
      <c r="AT13" s="218"/>
      <c r="AU13" s="213"/>
      <c r="AV13" s="213" t="e">
        <f t="shared" si="2"/>
        <v>#DIV/0!</v>
      </c>
      <c r="AW13" s="213" t="e">
        <f t="shared" si="2"/>
        <v>#DIV/0!</v>
      </c>
      <c r="AX13" s="213" t="e">
        <f t="shared" si="3"/>
        <v>#DIV/0!</v>
      </c>
    </row>
    <row r="14" spans="1:50" ht="18.75" customHeight="1">
      <c r="A14" s="147">
        <v>11</v>
      </c>
      <c r="B14" s="135" t="str">
        <f>VLOOKUP(A14,緊急聯絡!A$2:C$27,3,0)</f>
        <v>柯皓哲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4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57"/>
      <c r="AH14" s="213"/>
      <c r="AI14" s="213"/>
      <c r="AJ14" s="213"/>
      <c r="AK14" s="213"/>
      <c r="AL14" s="213"/>
      <c r="AM14" s="307"/>
      <c r="AN14" s="213"/>
      <c r="AO14" s="213"/>
      <c r="AP14" s="213"/>
      <c r="AQ14" s="213"/>
      <c r="AR14" s="213" t="e">
        <f t="shared" si="0"/>
        <v>#DIV/0!</v>
      </c>
      <c r="AS14" s="213" t="e">
        <f t="shared" si="1"/>
        <v>#DIV/0!</v>
      </c>
      <c r="AT14" s="218"/>
      <c r="AU14" s="213"/>
      <c r="AV14" s="213" t="e">
        <f t="shared" si="2"/>
        <v>#DIV/0!</v>
      </c>
      <c r="AW14" s="213" t="e">
        <f t="shared" si="2"/>
        <v>#DIV/0!</v>
      </c>
      <c r="AX14" s="213" t="e">
        <f t="shared" si="3"/>
        <v>#DIV/0!</v>
      </c>
    </row>
    <row r="15" spans="1:50" ht="18.75" customHeight="1">
      <c r="A15" s="147">
        <v>12</v>
      </c>
      <c r="B15" s="135" t="str">
        <f>VLOOKUP(A15,緊急聯絡!A$2:C$27,3,0)</f>
        <v>魏宇謙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4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57"/>
      <c r="AH15" s="213"/>
      <c r="AI15" s="213"/>
      <c r="AJ15" s="213"/>
      <c r="AK15" s="213"/>
      <c r="AL15" s="213"/>
      <c r="AM15" s="307"/>
      <c r="AN15" s="213"/>
      <c r="AO15" s="213"/>
      <c r="AP15" s="213"/>
      <c r="AQ15" s="213"/>
      <c r="AR15" s="213" t="e">
        <f t="shared" si="0"/>
        <v>#DIV/0!</v>
      </c>
      <c r="AS15" s="213" t="e">
        <f t="shared" si="1"/>
        <v>#DIV/0!</v>
      </c>
      <c r="AT15" s="218"/>
      <c r="AU15" s="213"/>
      <c r="AV15" s="213" t="e">
        <f t="shared" si="2"/>
        <v>#DIV/0!</v>
      </c>
      <c r="AW15" s="213" t="e">
        <f t="shared" si="2"/>
        <v>#DIV/0!</v>
      </c>
      <c r="AX15" s="213" t="e">
        <f t="shared" si="3"/>
        <v>#DIV/0!</v>
      </c>
    </row>
    <row r="16" spans="1:50" ht="18.75" customHeight="1">
      <c r="A16" s="147">
        <v>13</v>
      </c>
      <c r="B16" s="135" t="str">
        <f>VLOOKUP(A16,緊急聯絡!A$2:C$27,3,0)</f>
        <v>林季曄</v>
      </c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4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57"/>
      <c r="AH16" s="213"/>
      <c r="AI16" s="213"/>
      <c r="AJ16" s="213"/>
      <c r="AK16" s="213"/>
      <c r="AL16" s="213"/>
      <c r="AM16" s="307"/>
      <c r="AN16" s="213"/>
      <c r="AO16" s="213"/>
      <c r="AP16" s="213"/>
      <c r="AQ16" s="213"/>
      <c r="AR16" s="213" t="e">
        <f t="shared" si="0"/>
        <v>#DIV/0!</v>
      </c>
      <c r="AS16" s="213" t="e">
        <f t="shared" si="1"/>
        <v>#DIV/0!</v>
      </c>
      <c r="AT16" s="218"/>
      <c r="AU16" s="213"/>
      <c r="AV16" s="213" t="e">
        <f t="shared" si="2"/>
        <v>#DIV/0!</v>
      </c>
      <c r="AW16" s="213" t="e">
        <f t="shared" si="2"/>
        <v>#DIV/0!</v>
      </c>
      <c r="AX16" s="213" t="e">
        <f t="shared" si="3"/>
        <v>#DIV/0!</v>
      </c>
    </row>
    <row r="17" spans="1:50" ht="18.75" customHeight="1">
      <c r="A17" s="147">
        <v>14</v>
      </c>
      <c r="B17" s="135" t="str">
        <f>VLOOKUP(A17,緊急聯絡!A$2:C$27,3,0)</f>
        <v>高翊庭</v>
      </c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4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57"/>
      <c r="AH17" s="213"/>
      <c r="AI17" s="213"/>
      <c r="AJ17" s="213"/>
      <c r="AK17" s="213"/>
      <c r="AL17" s="213"/>
      <c r="AM17" s="307"/>
      <c r="AN17" s="213"/>
      <c r="AO17" s="213"/>
      <c r="AP17" s="213"/>
      <c r="AQ17" s="213"/>
      <c r="AR17" s="213" t="e">
        <f t="shared" si="0"/>
        <v>#DIV/0!</v>
      </c>
      <c r="AS17" s="213" t="e">
        <f t="shared" si="1"/>
        <v>#DIV/0!</v>
      </c>
      <c r="AT17" s="218"/>
      <c r="AU17" s="213"/>
      <c r="AV17" s="213" t="e">
        <f t="shared" si="2"/>
        <v>#DIV/0!</v>
      </c>
      <c r="AW17" s="213" t="e">
        <f t="shared" si="2"/>
        <v>#DIV/0!</v>
      </c>
      <c r="AX17" s="213" t="e">
        <f t="shared" si="3"/>
        <v>#DIV/0!</v>
      </c>
    </row>
    <row r="18" spans="1:50" ht="18.75" customHeight="1">
      <c r="A18" s="147">
        <v>15</v>
      </c>
      <c r="B18" s="135" t="str">
        <f>VLOOKUP(A18,緊急聯絡!A$2:C$27,3,0)</f>
        <v>藍彩華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4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57"/>
      <c r="AH18" s="213"/>
      <c r="AI18" s="213"/>
      <c r="AJ18" s="213"/>
      <c r="AK18" s="213"/>
      <c r="AL18" s="213"/>
      <c r="AM18" s="307"/>
      <c r="AN18" s="213"/>
      <c r="AO18" s="213"/>
      <c r="AP18" s="213"/>
      <c r="AQ18" s="213"/>
      <c r="AR18" s="213" t="e">
        <f t="shared" si="0"/>
        <v>#DIV/0!</v>
      </c>
      <c r="AS18" s="213" t="e">
        <f t="shared" si="1"/>
        <v>#DIV/0!</v>
      </c>
      <c r="AT18" s="218">
        <v>97</v>
      </c>
      <c r="AU18" s="213"/>
      <c r="AV18" s="213" t="e">
        <f t="shared" si="2"/>
        <v>#DIV/0!</v>
      </c>
      <c r="AW18" s="213" t="e">
        <f t="shared" si="2"/>
        <v>#DIV/0!</v>
      </c>
      <c r="AX18" s="213" t="e">
        <f t="shared" si="3"/>
        <v>#DIV/0!</v>
      </c>
    </row>
    <row r="19" spans="1:50" ht="18.75" customHeight="1">
      <c r="A19" s="147">
        <v>16</v>
      </c>
      <c r="B19" s="135" t="str">
        <f>VLOOKUP(A19,緊急聯絡!A$2:C$27,3,0)</f>
        <v>曾琛晞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4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57"/>
      <c r="AH19" s="213"/>
      <c r="AI19" s="213"/>
      <c r="AJ19" s="213"/>
      <c r="AK19" s="213"/>
      <c r="AL19" s="213"/>
      <c r="AM19" s="307"/>
      <c r="AN19" s="213"/>
      <c r="AO19" s="213"/>
      <c r="AP19" s="213"/>
      <c r="AQ19" s="213"/>
      <c r="AR19" s="213" t="e">
        <f t="shared" si="0"/>
        <v>#DIV/0!</v>
      </c>
      <c r="AS19" s="213" t="e">
        <f t="shared" si="1"/>
        <v>#DIV/0!</v>
      </c>
      <c r="AT19" s="218"/>
      <c r="AU19" s="213"/>
      <c r="AV19" s="213" t="e">
        <f t="shared" si="2"/>
        <v>#DIV/0!</v>
      </c>
      <c r="AW19" s="213" t="e">
        <f t="shared" si="2"/>
        <v>#DIV/0!</v>
      </c>
      <c r="AX19" s="213" t="e">
        <f t="shared" si="3"/>
        <v>#DIV/0!</v>
      </c>
    </row>
    <row r="20" spans="1:50" ht="18.75" customHeight="1">
      <c r="A20" s="147">
        <v>17</v>
      </c>
      <c r="B20" s="135" t="str">
        <f>VLOOKUP(A20,緊急聯絡!A$2:C$27,3,0)</f>
        <v>張智函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4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57"/>
      <c r="AH20" s="213"/>
      <c r="AI20" s="213"/>
      <c r="AJ20" s="213"/>
      <c r="AK20" s="213"/>
      <c r="AL20" s="213"/>
      <c r="AM20" s="307"/>
      <c r="AN20" s="213"/>
      <c r="AO20" s="213"/>
      <c r="AP20" s="213"/>
      <c r="AQ20" s="213"/>
      <c r="AR20" s="213" t="e">
        <f t="shared" si="0"/>
        <v>#DIV/0!</v>
      </c>
      <c r="AS20" s="213" t="e">
        <f t="shared" si="1"/>
        <v>#DIV/0!</v>
      </c>
      <c r="AT20" s="218"/>
      <c r="AU20" s="213"/>
      <c r="AV20" s="213" t="e">
        <f t="shared" si="2"/>
        <v>#DIV/0!</v>
      </c>
      <c r="AW20" s="213" t="e">
        <f t="shared" si="2"/>
        <v>#DIV/0!</v>
      </c>
      <c r="AX20" s="213" t="e">
        <f t="shared" si="3"/>
        <v>#DIV/0!</v>
      </c>
    </row>
    <row r="21" spans="1:50" ht="18.75" customHeight="1">
      <c r="A21" s="147">
        <v>18</v>
      </c>
      <c r="B21" s="135" t="str">
        <f>VLOOKUP(A21,緊急聯絡!A$2:C$27,3,0)</f>
        <v>許凌菲</v>
      </c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4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57"/>
      <c r="AH21" s="213"/>
      <c r="AI21" s="213"/>
      <c r="AJ21" s="213"/>
      <c r="AK21" s="213"/>
      <c r="AL21" s="213"/>
      <c r="AM21" s="307"/>
      <c r="AN21" s="213"/>
      <c r="AO21" s="213"/>
      <c r="AP21" s="213"/>
      <c r="AQ21" s="213"/>
      <c r="AR21" s="213" t="e">
        <f t="shared" si="0"/>
        <v>#DIV/0!</v>
      </c>
      <c r="AS21" s="213" t="e">
        <f t="shared" si="1"/>
        <v>#DIV/0!</v>
      </c>
      <c r="AT21" s="218"/>
      <c r="AU21" s="213"/>
      <c r="AV21" s="213" t="e">
        <f t="shared" si="2"/>
        <v>#DIV/0!</v>
      </c>
      <c r="AW21" s="213" t="e">
        <f t="shared" si="2"/>
        <v>#DIV/0!</v>
      </c>
      <c r="AX21" s="213" t="e">
        <f t="shared" si="3"/>
        <v>#DIV/0!</v>
      </c>
    </row>
    <row r="22" spans="1:50" ht="18.75" customHeight="1">
      <c r="A22" s="147">
        <v>19</v>
      </c>
      <c r="B22" s="135" t="str">
        <f>VLOOKUP(A22,緊急聯絡!A$2:C$27,3,0)</f>
        <v>吳羽棠</v>
      </c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4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57"/>
      <c r="AH22" s="213"/>
      <c r="AI22" s="213"/>
      <c r="AJ22" s="213"/>
      <c r="AK22" s="213"/>
      <c r="AL22" s="213"/>
      <c r="AM22" s="307"/>
      <c r="AN22" s="213"/>
      <c r="AO22" s="213"/>
      <c r="AP22" s="213"/>
      <c r="AQ22" s="213"/>
      <c r="AR22" s="213" t="e">
        <f t="shared" si="0"/>
        <v>#DIV/0!</v>
      </c>
      <c r="AS22" s="213" t="e">
        <f t="shared" si="1"/>
        <v>#DIV/0!</v>
      </c>
      <c r="AT22" s="218">
        <v>95</v>
      </c>
      <c r="AU22" s="213"/>
      <c r="AV22" s="213" t="e">
        <f t="shared" si="2"/>
        <v>#DIV/0!</v>
      </c>
      <c r="AW22" s="213" t="e">
        <f t="shared" si="2"/>
        <v>#DIV/0!</v>
      </c>
      <c r="AX22" s="213" t="e">
        <f t="shared" si="3"/>
        <v>#DIV/0!</v>
      </c>
    </row>
    <row r="23" spans="1:50" ht="18.75" customHeight="1">
      <c r="A23" s="147">
        <v>20</v>
      </c>
      <c r="B23" s="135" t="str">
        <f>VLOOKUP(A23,緊急聯絡!A$2:C$27,3,0)</f>
        <v>蔡羽媗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4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57"/>
      <c r="AH23" s="213"/>
      <c r="AI23" s="213"/>
      <c r="AJ23" s="213"/>
      <c r="AK23" s="213"/>
      <c r="AL23" s="213"/>
      <c r="AM23" s="307"/>
      <c r="AN23" s="213"/>
      <c r="AO23" s="213"/>
      <c r="AP23" s="213"/>
      <c r="AQ23" s="213"/>
      <c r="AR23" s="213" t="e">
        <f t="shared" si="0"/>
        <v>#DIV/0!</v>
      </c>
      <c r="AS23" s="213" t="e">
        <f t="shared" si="1"/>
        <v>#DIV/0!</v>
      </c>
      <c r="AT23" s="218">
        <v>95</v>
      </c>
      <c r="AU23" s="213"/>
      <c r="AV23" s="213" t="e">
        <f t="shared" si="2"/>
        <v>#DIV/0!</v>
      </c>
      <c r="AW23" s="213" t="e">
        <f t="shared" si="2"/>
        <v>#DIV/0!</v>
      </c>
      <c r="AX23" s="213" t="e">
        <f t="shared" si="3"/>
        <v>#DIV/0!</v>
      </c>
    </row>
    <row r="24" spans="1:50" ht="18.75" customHeight="1">
      <c r="A24" s="147">
        <v>21</v>
      </c>
      <c r="B24" s="135" t="str">
        <f>VLOOKUP(A24,緊急聯絡!A$2:C$27,3,0)</f>
        <v>楊筱歆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4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57"/>
      <c r="AH24" s="213"/>
      <c r="AI24" s="213"/>
      <c r="AJ24" s="213"/>
      <c r="AK24" s="213"/>
      <c r="AL24" s="213"/>
      <c r="AM24" s="307"/>
      <c r="AN24" s="213"/>
      <c r="AO24" s="213"/>
      <c r="AP24" s="213"/>
      <c r="AQ24" s="213"/>
      <c r="AR24" s="213" t="e">
        <f t="shared" si="0"/>
        <v>#DIV/0!</v>
      </c>
      <c r="AS24" s="213" t="e">
        <f t="shared" si="1"/>
        <v>#DIV/0!</v>
      </c>
      <c r="AT24" s="218"/>
      <c r="AU24" s="213"/>
      <c r="AV24" s="213" t="e">
        <f t="shared" si="2"/>
        <v>#DIV/0!</v>
      </c>
      <c r="AW24" s="213" t="e">
        <f t="shared" si="2"/>
        <v>#DIV/0!</v>
      </c>
      <c r="AX24" s="213" t="e">
        <f t="shared" si="3"/>
        <v>#DIV/0!</v>
      </c>
    </row>
    <row r="25" spans="1:50" ht="18.75" customHeight="1">
      <c r="A25" s="147">
        <v>22</v>
      </c>
      <c r="B25" s="135" t="str">
        <f>VLOOKUP(A25,緊急聯絡!A$2:C$27,3,0)</f>
        <v>邱詩涵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4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57"/>
      <c r="AH25" s="213"/>
      <c r="AI25" s="213"/>
      <c r="AJ25" s="213"/>
      <c r="AK25" s="213"/>
      <c r="AL25" s="213"/>
      <c r="AM25" s="307"/>
      <c r="AN25" s="213"/>
      <c r="AO25" s="213"/>
      <c r="AP25" s="213"/>
      <c r="AQ25" s="213"/>
      <c r="AR25" s="213" t="e">
        <f t="shared" si="0"/>
        <v>#DIV/0!</v>
      </c>
      <c r="AS25" s="213" t="e">
        <f t="shared" si="1"/>
        <v>#DIV/0!</v>
      </c>
      <c r="AT25" s="218"/>
      <c r="AU25" s="213"/>
      <c r="AV25" s="213" t="e">
        <f t="shared" si="2"/>
        <v>#DIV/0!</v>
      </c>
      <c r="AW25" s="213" t="e">
        <f t="shared" si="2"/>
        <v>#DIV/0!</v>
      </c>
      <c r="AX25" s="213" t="e">
        <f t="shared" si="3"/>
        <v>#DIV/0!</v>
      </c>
    </row>
    <row r="26" spans="1:50" ht="18.75" customHeight="1">
      <c r="A26" s="147">
        <v>23</v>
      </c>
      <c r="B26" s="135" t="str">
        <f>VLOOKUP(A26,緊急聯絡!A$2:C$27,3,0)</f>
        <v>張涵甯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4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57"/>
      <c r="AH26" s="213"/>
      <c r="AI26" s="213"/>
      <c r="AJ26" s="213"/>
      <c r="AK26" s="213"/>
      <c r="AL26" s="213"/>
      <c r="AM26" s="307"/>
      <c r="AN26" s="213"/>
      <c r="AO26" s="213"/>
      <c r="AP26" s="213"/>
      <c r="AQ26" s="213"/>
      <c r="AR26" s="213" t="e">
        <f t="shared" si="0"/>
        <v>#DIV/0!</v>
      </c>
      <c r="AS26" s="213" t="e">
        <f t="shared" si="1"/>
        <v>#DIV/0!</v>
      </c>
      <c r="AT26" s="218">
        <v>95</v>
      </c>
      <c r="AU26" s="213"/>
      <c r="AV26" s="213" t="e">
        <f t="shared" si="2"/>
        <v>#DIV/0!</v>
      </c>
      <c r="AW26" s="213" t="e">
        <f t="shared" si="2"/>
        <v>#DIV/0!</v>
      </c>
      <c r="AX26" s="213" t="e">
        <f t="shared" si="3"/>
        <v>#DIV/0!</v>
      </c>
    </row>
    <row r="27" spans="1:50" ht="18.75" customHeight="1">
      <c r="A27" s="147">
        <v>24</v>
      </c>
      <c r="B27" s="135" t="str">
        <f>VLOOKUP(A27,緊急聯絡!A$2:C$27,3,0)</f>
        <v>王姿涵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4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57"/>
      <c r="AH27" s="213"/>
      <c r="AI27" s="213"/>
      <c r="AJ27" s="213"/>
      <c r="AK27" s="213"/>
      <c r="AL27" s="213"/>
      <c r="AM27" s="307"/>
      <c r="AN27" s="213"/>
      <c r="AO27" s="213"/>
      <c r="AP27" s="213"/>
      <c r="AQ27" s="213"/>
      <c r="AR27" s="213" t="e">
        <f t="shared" si="0"/>
        <v>#DIV/0!</v>
      </c>
      <c r="AS27" s="213" t="e">
        <f t="shared" si="1"/>
        <v>#DIV/0!</v>
      </c>
      <c r="AT27" s="218"/>
      <c r="AU27" s="213"/>
      <c r="AV27" s="213" t="e">
        <f t="shared" ref="AV27:AW30" si="4">AVERAGE(AR27,AT27)</f>
        <v>#DIV/0!</v>
      </c>
      <c r="AW27" s="213" t="e">
        <f t="shared" si="4"/>
        <v>#DIV/0!</v>
      </c>
      <c r="AX27" s="213" t="e">
        <f t="shared" si="3"/>
        <v>#DIV/0!</v>
      </c>
    </row>
    <row r="28" spans="1:50" ht="18.75" customHeight="1">
      <c r="A28" s="147">
        <v>25</v>
      </c>
      <c r="B28" s="135" t="str">
        <f>VLOOKUP(A28,緊急聯絡!A$2:C$27,3,0)</f>
        <v>林昱萱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4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57"/>
      <c r="AH28" s="213"/>
      <c r="AI28" s="213"/>
      <c r="AJ28" s="213"/>
      <c r="AK28" s="213"/>
      <c r="AL28" s="213"/>
      <c r="AM28" s="307"/>
      <c r="AN28" s="213"/>
      <c r="AO28" s="213"/>
      <c r="AP28" s="213"/>
      <c r="AQ28" s="213"/>
      <c r="AR28" s="213" t="e">
        <f t="shared" si="0"/>
        <v>#DIV/0!</v>
      </c>
      <c r="AS28" s="213" t="e">
        <f t="shared" si="1"/>
        <v>#DIV/0!</v>
      </c>
      <c r="AT28" s="218">
        <v>92</v>
      </c>
      <c r="AU28" s="213"/>
      <c r="AV28" s="213" t="e">
        <f t="shared" si="4"/>
        <v>#DIV/0!</v>
      </c>
      <c r="AW28" s="213" t="e">
        <f t="shared" si="4"/>
        <v>#DIV/0!</v>
      </c>
      <c r="AX28" s="213" t="e">
        <f t="shared" si="3"/>
        <v>#DIV/0!</v>
      </c>
    </row>
    <row r="29" spans="1:50" ht="18.75" customHeight="1">
      <c r="A29" s="147">
        <v>26</v>
      </c>
      <c r="B29" s="135" t="str">
        <f>VLOOKUP(A29,緊急聯絡!A$2:C$27,3,0)</f>
        <v>李文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4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57"/>
      <c r="AH29" s="213"/>
      <c r="AI29" s="213"/>
      <c r="AJ29" s="213"/>
      <c r="AK29" s="213"/>
      <c r="AL29" s="213"/>
      <c r="AM29" s="307"/>
      <c r="AN29" s="213"/>
      <c r="AO29" s="213"/>
      <c r="AP29" s="213"/>
      <c r="AQ29" s="213"/>
      <c r="AR29" s="213" t="e">
        <f t="shared" si="0"/>
        <v>#DIV/0!</v>
      </c>
      <c r="AS29" s="213" t="e">
        <f t="shared" si="1"/>
        <v>#DIV/0!</v>
      </c>
      <c r="AT29" s="218"/>
      <c r="AU29" s="213"/>
      <c r="AV29" s="213" t="e">
        <f t="shared" si="4"/>
        <v>#DIV/0!</v>
      </c>
      <c r="AW29" s="213" t="e">
        <f t="shared" si="4"/>
        <v>#DIV/0!</v>
      </c>
      <c r="AX29" s="213" t="e">
        <f t="shared" si="3"/>
        <v>#DIV/0!</v>
      </c>
    </row>
    <row r="30" spans="1:50" ht="18.75" customHeight="1">
      <c r="A30" s="217">
        <v>29</v>
      </c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4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57"/>
      <c r="AH30" s="213"/>
      <c r="AI30" s="213"/>
      <c r="AJ30" s="213"/>
      <c r="AK30" s="213"/>
      <c r="AL30" s="213"/>
      <c r="AM30" s="307"/>
      <c r="AN30" s="213"/>
      <c r="AO30" s="213"/>
      <c r="AP30" s="213"/>
      <c r="AQ30" s="213"/>
      <c r="AR30" s="213" t="e">
        <f t="shared" si="0"/>
        <v>#DIV/0!</v>
      </c>
      <c r="AS30" s="213" t="e">
        <f t="shared" si="1"/>
        <v>#DIV/0!</v>
      </c>
      <c r="AT30" s="218"/>
      <c r="AU30" s="213"/>
      <c r="AV30" s="213" t="e">
        <f t="shared" si="4"/>
        <v>#DIV/0!</v>
      </c>
      <c r="AW30" s="213" t="e">
        <f t="shared" si="4"/>
        <v>#DIV/0!</v>
      </c>
      <c r="AX30" s="213" t="e">
        <f t="shared" si="3"/>
        <v>#DIV/0!</v>
      </c>
    </row>
    <row r="31" spans="1:50" ht="18.75" customHeight="1" thickBot="1">
      <c r="A31" s="217">
        <v>30</v>
      </c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4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57"/>
      <c r="AH31" s="213"/>
      <c r="AI31" s="213"/>
      <c r="AJ31" s="213"/>
      <c r="AK31" s="213"/>
      <c r="AL31" s="213"/>
      <c r="AM31" s="312"/>
      <c r="AN31" s="213"/>
      <c r="AO31" s="213"/>
      <c r="AP31" s="213"/>
      <c r="AQ31" s="213"/>
      <c r="AR31" s="213" t="e">
        <f t="shared" si="0"/>
        <v>#DIV/0!</v>
      </c>
      <c r="AS31" s="213" t="e">
        <f t="shared" si="1"/>
        <v>#DIV/0!</v>
      </c>
      <c r="AT31" s="276"/>
      <c r="AU31" s="213"/>
      <c r="AV31" s="213"/>
      <c r="AW31" s="213"/>
      <c r="AX31" s="213"/>
    </row>
    <row r="32" spans="1:50" ht="18.75" customHeight="1" thickTop="1">
      <c r="A32" s="60"/>
      <c r="B32" s="61" t="s">
        <v>214</v>
      </c>
      <c r="C32" s="60" t="e">
        <f>AVERAGE(C4:C30)</f>
        <v>#DIV/0!</v>
      </c>
      <c r="D32" s="60" t="e">
        <f>AVERAGE(D4:D30)</f>
        <v>#DIV/0!</v>
      </c>
      <c r="E32" s="60" t="e">
        <f>AVERAGE(E4:E30)</f>
        <v>#DIV/0!</v>
      </c>
      <c r="F32" s="60" t="e">
        <f>AVERAGE(F4:F26)</f>
        <v>#DIV/0!</v>
      </c>
      <c r="G32" s="60" t="e">
        <f>AVERAGE(G4:G30)</f>
        <v>#DIV/0!</v>
      </c>
      <c r="H32" s="60" t="e">
        <f t="shared" ref="H32:O32" si="5">AVERAGE(H4:H26)</f>
        <v>#DIV/0!</v>
      </c>
      <c r="I32" s="60" t="e">
        <f t="shared" si="5"/>
        <v>#DIV/0!</v>
      </c>
      <c r="J32" s="60" t="e">
        <f t="shared" si="5"/>
        <v>#DIV/0!</v>
      </c>
      <c r="K32" s="60" t="e">
        <f t="shared" si="5"/>
        <v>#DIV/0!</v>
      </c>
      <c r="L32" s="60" t="e">
        <f t="shared" si="5"/>
        <v>#DIV/0!</v>
      </c>
      <c r="M32" s="60" t="e">
        <f t="shared" si="5"/>
        <v>#DIV/0!</v>
      </c>
      <c r="N32" s="60" t="e">
        <f t="shared" si="5"/>
        <v>#DIV/0!</v>
      </c>
      <c r="O32" s="60" t="e">
        <f t="shared" si="5"/>
        <v>#DIV/0!</v>
      </c>
      <c r="P32" s="60" t="e">
        <f>AVERAGE(P4:P30)</f>
        <v>#DIV/0!</v>
      </c>
      <c r="Q32" s="60" t="e">
        <f>AVERAGE(Q4:Q26)</f>
        <v>#DIV/0!</v>
      </c>
      <c r="R32" s="60" t="e">
        <f>AVERAGE(R4:R30)</f>
        <v>#DIV/0!</v>
      </c>
      <c r="S32" s="60" t="e">
        <f>AVERAGE(S4:S30)</f>
        <v>#DIV/0!</v>
      </c>
      <c r="T32" s="60" t="e">
        <f>AVERAGE(T4:T26)</f>
        <v>#DIV/0!</v>
      </c>
      <c r="U32" s="60" t="e">
        <f>AVERAGE(U4:U30)</f>
        <v>#DIV/0!</v>
      </c>
      <c r="V32" s="60" t="e">
        <f t="shared" ref="V32:AX32" si="6">AVERAGE(V4:V26)</f>
        <v>#DIV/0!</v>
      </c>
      <c r="W32" s="60" t="e">
        <f t="shared" si="6"/>
        <v>#DIV/0!</v>
      </c>
      <c r="X32" s="60" t="e">
        <f>AVERAGE(X4:X30)</f>
        <v>#DIV/0!</v>
      </c>
      <c r="Y32" s="60" t="e">
        <f t="shared" si="6"/>
        <v>#DIV/0!</v>
      </c>
      <c r="Z32" s="60" t="e">
        <f>AVERAGE(Z4:Z30)</f>
        <v>#DIV/0!</v>
      </c>
      <c r="AA32" s="60" t="e">
        <f t="shared" si="6"/>
        <v>#DIV/0!</v>
      </c>
      <c r="AB32" s="60" t="e">
        <f t="shared" si="6"/>
        <v>#DIV/0!</v>
      </c>
      <c r="AC32" s="60" t="e">
        <f t="shared" si="6"/>
        <v>#DIV/0!</v>
      </c>
      <c r="AD32" s="60" t="e">
        <f t="shared" si="6"/>
        <v>#DIV/0!</v>
      </c>
      <c r="AE32" s="60" t="e">
        <f t="shared" si="6"/>
        <v>#DIV/0!</v>
      </c>
      <c r="AF32" s="60" t="e">
        <f t="shared" si="6"/>
        <v>#DIV/0!</v>
      </c>
      <c r="AG32" s="60" t="e">
        <f t="shared" si="6"/>
        <v>#DIV/0!</v>
      </c>
      <c r="AH32" s="60" t="e">
        <f>AVERAGE(AH4:AH31)</f>
        <v>#DIV/0!</v>
      </c>
      <c r="AI32" s="60" t="e">
        <f t="shared" si="6"/>
        <v>#DIV/0!</v>
      </c>
      <c r="AJ32" s="60" t="e">
        <f t="shared" si="6"/>
        <v>#DIV/0!</v>
      </c>
      <c r="AK32" s="60" t="e">
        <f t="shared" si="6"/>
        <v>#DIV/0!</v>
      </c>
      <c r="AL32" s="60" t="e">
        <f t="shared" si="6"/>
        <v>#DIV/0!</v>
      </c>
      <c r="AM32" s="60" t="e">
        <f t="shared" si="6"/>
        <v>#DIV/0!</v>
      </c>
      <c r="AN32" s="60" t="e">
        <f>AVERAGE(AN4:AN31)</f>
        <v>#DIV/0!</v>
      </c>
      <c r="AO32" s="60" t="e">
        <f t="shared" si="6"/>
        <v>#DIV/0!</v>
      </c>
      <c r="AP32" s="60" t="e">
        <f t="shared" si="6"/>
        <v>#DIV/0!</v>
      </c>
      <c r="AQ32" s="60" t="e">
        <f t="shared" si="6"/>
        <v>#DIV/0!</v>
      </c>
      <c r="AR32" s="60" t="e">
        <f t="shared" si="6"/>
        <v>#DIV/0!</v>
      </c>
      <c r="AS32" s="60" t="e">
        <f t="shared" si="6"/>
        <v>#DIV/0!</v>
      </c>
      <c r="AT32" s="60">
        <f t="shared" si="6"/>
        <v>95.5</v>
      </c>
      <c r="AU32" s="60" t="e">
        <f t="shared" si="6"/>
        <v>#DIV/0!</v>
      </c>
      <c r="AV32" s="60" t="e">
        <f t="shared" si="6"/>
        <v>#DIV/0!</v>
      </c>
      <c r="AW32" s="60" t="e">
        <f t="shared" si="6"/>
        <v>#DIV/0!</v>
      </c>
      <c r="AX32" s="60" t="e">
        <f t="shared" si="6"/>
        <v>#DIV/0!</v>
      </c>
    </row>
    <row r="33" spans="2:50">
      <c r="B33" s="59">
        <v>100</v>
      </c>
      <c r="C33" s="59">
        <f t="shared" ref="C33:AX33" si="7">COUNTIF(C$4:C$31,"=100")</f>
        <v>0</v>
      </c>
      <c r="D33" s="59">
        <f t="shared" si="7"/>
        <v>0</v>
      </c>
      <c r="E33" s="59">
        <f t="shared" si="7"/>
        <v>0</v>
      </c>
      <c r="F33" s="59">
        <f t="shared" si="7"/>
        <v>0</v>
      </c>
      <c r="G33" s="59">
        <f t="shared" si="7"/>
        <v>0</v>
      </c>
      <c r="H33" s="59">
        <f t="shared" si="7"/>
        <v>0</v>
      </c>
      <c r="I33" s="59">
        <f t="shared" si="7"/>
        <v>0</v>
      </c>
      <c r="J33" s="59">
        <f t="shared" si="7"/>
        <v>0</v>
      </c>
      <c r="K33" s="59">
        <f t="shared" si="7"/>
        <v>0</v>
      </c>
      <c r="L33" s="59">
        <f t="shared" si="7"/>
        <v>0</v>
      </c>
      <c r="M33" s="59">
        <f t="shared" si="7"/>
        <v>0</v>
      </c>
      <c r="N33" s="59">
        <f t="shared" si="7"/>
        <v>0</v>
      </c>
      <c r="O33" s="59">
        <f t="shared" si="7"/>
        <v>0</v>
      </c>
      <c r="P33" s="59">
        <f t="shared" si="7"/>
        <v>0</v>
      </c>
      <c r="Q33" s="59">
        <f t="shared" si="7"/>
        <v>0</v>
      </c>
      <c r="R33" s="59">
        <f t="shared" si="7"/>
        <v>0</v>
      </c>
      <c r="S33" s="59">
        <f t="shared" si="7"/>
        <v>0</v>
      </c>
      <c r="T33" s="59">
        <f t="shared" si="7"/>
        <v>0</v>
      </c>
      <c r="U33" s="59">
        <f t="shared" si="7"/>
        <v>0</v>
      </c>
      <c r="V33" s="59">
        <f t="shared" si="7"/>
        <v>0</v>
      </c>
      <c r="W33" s="59">
        <f t="shared" si="7"/>
        <v>0</v>
      </c>
      <c r="X33" s="59">
        <f t="shared" si="7"/>
        <v>0</v>
      </c>
      <c r="Y33" s="59">
        <f t="shared" si="7"/>
        <v>0</v>
      </c>
      <c r="Z33" s="59">
        <f t="shared" si="7"/>
        <v>0</v>
      </c>
      <c r="AA33" s="59">
        <f t="shared" si="7"/>
        <v>0</v>
      </c>
      <c r="AB33" s="59">
        <f t="shared" si="7"/>
        <v>0</v>
      </c>
      <c r="AC33" s="59">
        <f t="shared" si="7"/>
        <v>0</v>
      </c>
      <c r="AD33" s="59">
        <f t="shared" si="7"/>
        <v>0</v>
      </c>
      <c r="AE33" s="59">
        <f t="shared" si="7"/>
        <v>0</v>
      </c>
      <c r="AF33" s="59">
        <f t="shared" si="7"/>
        <v>0</v>
      </c>
      <c r="AG33" s="59">
        <f t="shared" si="7"/>
        <v>0</v>
      </c>
      <c r="AH33" s="59">
        <f t="shared" si="7"/>
        <v>0</v>
      </c>
      <c r="AI33" s="59">
        <f t="shared" si="7"/>
        <v>0</v>
      </c>
      <c r="AJ33" s="59">
        <f t="shared" si="7"/>
        <v>0</v>
      </c>
      <c r="AK33" s="59">
        <f t="shared" si="7"/>
        <v>0</v>
      </c>
      <c r="AL33" s="59">
        <f t="shared" si="7"/>
        <v>0</v>
      </c>
      <c r="AM33" s="59">
        <f t="shared" si="7"/>
        <v>0</v>
      </c>
      <c r="AN33" s="59">
        <f t="shared" si="7"/>
        <v>0</v>
      </c>
      <c r="AO33" s="59">
        <f t="shared" si="7"/>
        <v>0</v>
      </c>
      <c r="AP33" s="59">
        <f t="shared" si="7"/>
        <v>0</v>
      </c>
      <c r="AQ33" s="59">
        <f t="shared" si="7"/>
        <v>0</v>
      </c>
      <c r="AR33" s="59">
        <f t="shared" si="7"/>
        <v>0</v>
      </c>
      <c r="AS33" s="59">
        <f t="shared" si="7"/>
        <v>0</v>
      </c>
      <c r="AT33" s="59">
        <f t="shared" si="7"/>
        <v>0</v>
      </c>
      <c r="AU33" s="59">
        <f t="shared" si="7"/>
        <v>0</v>
      </c>
      <c r="AV33" s="59">
        <f t="shared" si="7"/>
        <v>0</v>
      </c>
      <c r="AW33" s="59">
        <f t="shared" si="7"/>
        <v>0</v>
      </c>
      <c r="AX33" s="59">
        <f t="shared" si="7"/>
        <v>0</v>
      </c>
    </row>
    <row r="34" spans="2:50">
      <c r="B34" s="59">
        <v>90</v>
      </c>
      <c r="C34" s="59">
        <f t="shared" ref="C34:AX34" si="8">COUNTIF(C$4:C$31,"&gt;89")-C33</f>
        <v>0</v>
      </c>
      <c r="D34" s="59">
        <f t="shared" si="8"/>
        <v>0</v>
      </c>
      <c r="E34" s="59">
        <f t="shared" si="8"/>
        <v>0</v>
      </c>
      <c r="F34" s="59">
        <f t="shared" si="8"/>
        <v>0</v>
      </c>
      <c r="G34" s="59">
        <f t="shared" si="8"/>
        <v>0</v>
      </c>
      <c r="H34" s="59">
        <f t="shared" si="8"/>
        <v>0</v>
      </c>
      <c r="I34" s="59">
        <f t="shared" si="8"/>
        <v>0</v>
      </c>
      <c r="J34" s="59">
        <f t="shared" si="8"/>
        <v>0</v>
      </c>
      <c r="K34" s="59">
        <f t="shared" si="8"/>
        <v>0</v>
      </c>
      <c r="L34" s="59">
        <f t="shared" si="8"/>
        <v>0</v>
      </c>
      <c r="M34" s="59">
        <f t="shared" si="8"/>
        <v>0</v>
      </c>
      <c r="N34" s="59">
        <f t="shared" si="8"/>
        <v>0</v>
      </c>
      <c r="O34" s="59">
        <f t="shared" si="8"/>
        <v>0</v>
      </c>
      <c r="P34" s="59">
        <f t="shared" si="8"/>
        <v>0</v>
      </c>
      <c r="Q34" s="59">
        <f t="shared" si="8"/>
        <v>0</v>
      </c>
      <c r="R34" s="59">
        <f t="shared" si="8"/>
        <v>0</v>
      </c>
      <c r="S34" s="59">
        <f t="shared" si="8"/>
        <v>0</v>
      </c>
      <c r="T34" s="59">
        <f t="shared" si="8"/>
        <v>0</v>
      </c>
      <c r="U34" s="59">
        <f t="shared" si="8"/>
        <v>0</v>
      </c>
      <c r="V34" s="59">
        <f t="shared" si="8"/>
        <v>0</v>
      </c>
      <c r="W34" s="59">
        <f t="shared" si="8"/>
        <v>0</v>
      </c>
      <c r="X34" s="59">
        <f t="shared" si="8"/>
        <v>0</v>
      </c>
      <c r="Y34" s="59">
        <f t="shared" si="8"/>
        <v>0</v>
      </c>
      <c r="Z34" s="59">
        <f t="shared" si="8"/>
        <v>0</v>
      </c>
      <c r="AA34" s="59">
        <f t="shared" si="8"/>
        <v>0</v>
      </c>
      <c r="AB34" s="59">
        <f t="shared" si="8"/>
        <v>0</v>
      </c>
      <c r="AC34" s="59">
        <f t="shared" si="8"/>
        <v>0</v>
      </c>
      <c r="AD34" s="59">
        <f t="shared" si="8"/>
        <v>0</v>
      </c>
      <c r="AE34" s="59">
        <f t="shared" si="8"/>
        <v>0</v>
      </c>
      <c r="AF34" s="59">
        <f t="shared" si="8"/>
        <v>0</v>
      </c>
      <c r="AG34" s="259">
        <f t="shared" si="8"/>
        <v>0</v>
      </c>
      <c r="AH34" s="59">
        <f t="shared" si="8"/>
        <v>0</v>
      </c>
      <c r="AI34" s="59">
        <f t="shared" si="8"/>
        <v>0</v>
      </c>
      <c r="AJ34" s="59">
        <f t="shared" si="8"/>
        <v>0</v>
      </c>
      <c r="AK34" s="59">
        <f t="shared" si="8"/>
        <v>0</v>
      </c>
      <c r="AL34" s="59">
        <f t="shared" si="8"/>
        <v>0</v>
      </c>
      <c r="AM34" s="59">
        <f t="shared" si="8"/>
        <v>0</v>
      </c>
      <c r="AN34" s="59">
        <f t="shared" si="8"/>
        <v>0</v>
      </c>
      <c r="AO34" s="59">
        <f t="shared" si="8"/>
        <v>0</v>
      </c>
      <c r="AP34" s="59">
        <f t="shared" si="8"/>
        <v>0</v>
      </c>
      <c r="AQ34" s="59">
        <f t="shared" si="8"/>
        <v>0</v>
      </c>
      <c r="AR34" s="59">
        <f t="shared" si="8"/>
        <v>0</v>
      </c>
      <c r="AS34" s="59">
        <f t="shared" si="8"/>
        <v>0</v>
      </c>
      <c r="AT34" s="59">
        <f t="shared" si="8"/>
        <v>5</v>
      </c>
      <c r="AU34" s="59">
        <f t="shared" si="8"/>
        <v>0</v>
      </c>
      <c r="AV34" s="59">
        <f t="shared" si="8"/>
        <v>0</v>
      </c>
      <c r="AW34" s="59">
        <f t="shared" si="8"/>
        <v>0</v>
      </c>
      <c r="AX34" s="59">
        <f t="shared" si="8"/>
        <v>0</v>
      </c>
    </row>
    <row r="35" spans="2:50">
      <c r="B35" s="59">
        <v>80</v>
      </c>
      <c r="C35" s="59">
        <f t="shared" ref="C35:AX35" si="9">COUNTIF(C$4:C$31,"&gt;79")-C34-C33</f>
        <v>0</v>
      </c>
      <c r="D35" s="59">
        <f t="shared" si="9"/>
        <v>0</v>
      </c>
      <c r="E35" s="59">
        <f t="shared" si="9"/>
        <v>0</v>
      </c>
      <c r="F35" s="59">
        <f t="shared" si="9"/>
        <v>0</v>
      </c>
      <c r="G35" s="59">
        <f t="shared" si="9"/>
        <v>0</v>
      </c>
      <c r="H35" s="59">
        <f t="shared" si="9"/>
        <v>0</v>
      </c>
      <c r="I35" s="59">
        <f t="shared" si="9"/>
        <v>0</v>
      </c>
      <c r="J35" s="59">
        <f t="shared" si="9"/>
        <v>0</v>
      </c>
      <c r="K35" s="59">
        <f t="shared" si="9"/>
        <v>0</v>
      </c>
      <c r="L35" s="59">
        <f t="shared" si="9"/>
        <v>0</v>
      </c>
      <c r="M35" s="59">
        <f t="shared" si="9"/>
        <v>0</v>
      </c>
      <c r="N35" s="59">
        <f t="shared" si="9"/>
        <v>0</v>
      </c>
      <c r="O35" s="59">
        <f t="shared" si="9"/>
        <v>0</v>
      </c>
      <c r="P35" s="59">
        <f t="shared" si="9"/>
        <v>0</v>
      </c>
      <c r="Q35" s="59">
        <f t="shared" si="9"/>
        <v>0</v>
      </c>
      <c r="R35" s="59">
        <f t="shared" si="9"/>
        <v>0</v>
      </c>
      <c r="S35" s="59">
        <f t="shared" si="9"/>
        <v>0</v>
      </c>
      <c r="T35" s="59">
        <f t="shared" si="9"/>
        <v>0</v>
      </c>
      <c r="U35" s="59">
        <f t="shared" si="9"/>
        <v>0</v>
      </c>
      <c r="V35" s="59">
        <f t="shared" si="9"/>
        <v>0</v>
      </c>
      <c r="W35" s="59">
        <f t="shared" si="9"/>
        <v>0</v>
      </c>
      <c r="X35" s="59">
        <f t="shared" si="9"/>
        <v>0</v>
      </c>
      <c r="Y35" s="59">
        <f t="shared" si="9"/>
        <v>0</v>
      </c>
      <c r="Z35" s="59">
        <f t="shared" si="9"/>
        <v>0</v>
      </c>
      <c r="AA35" s="59">
        <f t="shared" si="9"/>
        <v>0</v>
      </c>
      <c r="AB35" s="59">
        <f t="shared" si="9"/>
        <v>0</v>
      </c>
      <c r="AC35" s="59">
        <f t="shared" si="9"/>
        <v>0</v>
      </c>
      <c r="AD35" s="59">
        <f t="shared" si="9"/>
        <v>0</v>
      </c>
      <c r="AE35" s="59">
        <f t="shared" si="9"/>
        <v>0</v>
      </c>
      <c r="AF35" s="59">
        <f t="shared" si="9"/>
        <v>0</v>
      </c>
      <c r="AG35" s="259">
        <f t="shared" si="9"/>
        <v>0</v>
      </c>
      <c r="AH35" s="59">
        <f t="shared" si="9"/>
        <v>0</v>
      </c>
      <c r="AI35" s="59">
        <f t="shared" si="9"/>
        <v>0</v>
      </c>
      <c r="AJ35" s="59">
        <f t="shared" si="9"/>
        <v>0</v>
      </c>
      <c r="AK35" s="59">
        <f t="shared" si="9"/>
        <v>0</v>
      </c>
      <c r="AL35" s="59">
        <f t="shared" si="9"/>
        <v>0</v>
      </c>
      <c r="AM35" s="59">
        <f t="shared" si="9"/>
        <v>0</v>
      </c>
      <c r="AN35" s="59">
        <f t="shared" si="9"/>
        <v>0</v>
      </c>
      <c r="AO35" s="59">
        <f t="shared" si="9"/>
        <v>0</v>
      </c>
      <c r="AP35" s="59">
        <f t="shared" si="9"/>
        <v>0</v>
      </c>
      <c r="AQ35" s="59">
        <f t="shared" si="9"/>
        <v>0</v>
      </c>
      <c r="AR35" s="59">
        <f t="shared" si="9"/>
        <v>0</v>
      </c>
      <c r="AS35" s="59">
        <f t="shared" si="9"/>
        <v>0</v>
      </c>
      <c r="AT35" s="59">
        <f t="shared" si="9"/>
        <v>0</v>
      </c>
      <c r="AU35" s="59">
        <f t="shared" si="9"/>
        <v>0</v>
      </c>
      <c r="AV35" s="59">
        <f t="shared" si="9"/>
        <v>0</v>
      </c>
      <c r="AW35" s="59">
        <f t="shared" si="9"/>
        <v>0</v>
      </c>
      <c r="AX35" s="59">
        <f t="shared" si="9"/>
        <v>0</v>
      </c>
    </row>
    <row r="36" spans="2:50">
      <c r="B36" s="59">
        <v>70</v>
      </c>
      <c r="C36" s="59">
        <f t="shared" ref="C36:AX36" si="10">COUNTIF(C$4:C$31,"&gt;69")-C35-C34-C33</f>
        <v>0</v>
      </c>
      <c r="D36" s="59">
        <f t="shared" si="10"/>
        <v>0</v>
      </c>
      <c r="E36" s="59">
        <f t="shared" si="10"/>
        <v>0</v>
      </c>
      <c r="F36" s="59">
        <f t="shared" si="10"/>
        <v>0</v>
      </c>
      <c r="G36" s="59">
        <f t="shared" si="10"/>
        <v>0</v>
      </c>
      <c r="H36" s="59">
        <f t="shared" si="10"/>
        <v>0</v>
      </c>
      <c r="I36" s="59">
        <f t="shared" si="10"/>
        <v>0</v>
      </c>
      <c r="J36" s="59">
        <f t="shared" si="10"/>
        <v>0</v>
      </c>
      <c r="K36" s="59">
        <f t="shared" si="10"/>
        <v>0</v>
      </c>
      <c r="L36" s="59">
        <f t="shared" si="10"/>
        <v>0</v>
      </c>
      <c r="M36" s="59">
        <f t="shared" si="10"/>
        <v>0</v>
      </c>
      <c r="N36" s="59">
        <f t="shared" si="10"/>
        <v>0</v>
      </c>
      <c r="O36" s="59">
        <f t="shared" si="10"/>
        <v>0</v>
      </c>
      <c r="P36" s="59">
        <f t="shared" si="10"/>
        <v>0</v>
      </c>
      <c r="Q36" s="59">
        <f t="shared" si="10"/>
        <v>0</v>
      </c>
      <c r="R36" s="59">
        <f t="shared" si="10"/>
        <v>0</v>
      </c>
      <c r="S36" s="59">
        <f t="shared" si="10"/>
        <v>0</v>
      </c>
      <c r="T36" s="59">
        <f t="shared" si="10"/>
        <v>0</v>
      </c>
      <c r="U36" s="59">
        <f t="shared" si="10"/>
        <v>0</v>
      </c>
      <c r="V36" s="59">
        <f t="shared" si="10"/>
        <v>0</v>
      </c>
      <c r="W36" s="59">
        <f t="shared" si="10"/>
        <v>0</v>
      </c>
      <c r="X36" s="59">
        <f t="shared" si="10"/>
        <v>0</v>
      </c>
      <c r="Y36" s="59">
        <f t="shared" si="10"/>
        <v>0</v>
      </c>
      <c r="Z36" s="59">
        <f t="shared" si="10"/>
        <v>0</v>
      </c>
      <c r="AA36" s="59">
        <f t="shared" si="10"/>
        <v>0</v>
      </c>
      <c r="AB36" s="59">
        <f t="shared" si="10"/>
        <v>0</v>
      </c>
      <c r="AC36" s="59">
        <f t="shared" si="10"/>
        <v>0</v>
      </c>
      <c r="AD36" s="59">
        <f t="shared" si="10"/>
        <v>0</v>
      </c>
      <c r="AE36" s="59">
        <f t="shared" si="10"/>
        <v>0</v>
      </c>
      <c r="AF36" s="59">
        <f t="shared" si="10"/>
        <v>0</v>
      </c>
      <c r="AG36" s="259">
        <f t="shared" si="10"/>
        <v>0</v>
      </c>
      <c r="AH36" s="59">
        <f t="shared" si="10"/>
        <v>0</v>
      </c>
      <c r="AI36" s="59">
        <f t="shared" si="10"/>
        <v>0</v>
      </c>
      <c r="AJ36" s="59">
        <f t="shared" si="10"/>
        <v>0</v>
      </c>
      <c r="AK36" s="59">
        <f t="shared" si="10"/>
        <v>0</v>
      </c>
      <c r="AL36" s="59">
        <f t="shared" si="10"/>
        <v>0</v>
      </c>
      <c r="AM36" s="59">
        <f t="shared" si="10"/>
        <v>0</v>
      </c>
      <c r="AN36" s="59">
        <f t="shared" si="10"/>
        <v>0</v>
      </c>
      <c r="AO36" s="59">
        <f t="shared" si="10"/>
        <v>0</v>
      </c>
      <c r="AP36" s="59">
        <f t="shared" si="10"/>
        <v>0</v>
      </c>
      <c r="AQ36" s="59">
        <f t="shared" si="10"/>
        <v>0</v>
      </c>
      <c r="AR36" s="59">
        <f t="shared" si="10"/>
        <v>0</v>
      </c>
      <c r="AS36" s="59">
        <f t="shared" si="10"/>
        <v>0</v>
      </c>
      <c r="AT36" s="59">
        <f t="shared" si="10"/>
        <v>0</v>
      </c>
      <c r="AU36" s="59">
        <f t="shared" si="10"/>
        <v>0</v>
      </c>
      <c r="AV36" s="59">
        <f t="shared" si="10"/>
        <v>0</v>
      </c>
      <c r="AW36" s="59">
        <f t="shared" si="10"/>
        <v>0</v>
      </c>
      <c r="AX36" s="59">
        <f t="shared" si="10"/>
        <v>0</v>
      </c>
    </row>
    <row r="37" spans="2:50">
      <c r="B37" s="59">
        <v>60</v>
      </c>
      <c r="C37" s="59">
        <f t="shared" ref="C37:AX37" si="11">COUNTIF(C$4:C$31,"&gt;59")-C36-C35-C34-C33</f>
        <v>0</v>
      </c>
      <c r="D37" s="59">
        <f t="shared" si="11"/>
        <v>0</v>
      </c>
      <c r="E37" s="59">
        <f t="shared" si="11"/>
        <v>0</v>
      </c>
      <c r="F37" s="59">
        <f t="shared" si="11"/>
        <v>0</v>
      </c>
      <c r="G37" s="59">
        <f t="shared" si="11"/>
        <v>0</v>
      </c>
      <c r="H37" s="59">
        <f t="shared" si="11"/>
        <v>0</v>
      </c>
      <c r="I37" s="59">
        <f t="shared" si="11"/>
        <v>0</v>
      </c>
      <c r="J37" s="59">
        <f t="shared" si="11"/>
        <v>0</v>
      </c>
      <c r="K37" s="59">
        <f t="shared" si="11"/>
        <v>0</v>
      </c>
      <c r="L37" s="59">
        <f t="shared" si="11"/>
        <v>0</v>
      </c>
      <c r="M37" s="59">
        <f t="shared" si="11"/>
        <v>0</v>
      </c>
      <c r="N37" s="59">
        <f t="shared" si="11"/>
        <v>0</v>
      </c>
      <c r="O37" s="59">
        <f t="shared" si="11"/>
        <v>0</v>
      </c>
      <c r="P37" s="59">
        <f t="shared" si="11"/>
        <v>0</v>
      </c>
      <c r="Q37" s="59">
        <f t="shared" si="11"/>
        <v>0</v>
      </c>
      <c r="R37" s="59">
        <f t="shared" si="11"/>
        <v>0</v>
      </c>
      <c r="S37" s="59">
        <f t="shared" si="11"/>
        <v>0</v>
      </c>
      <c r="T37" s="59">
        <f t="shared" si="11"/>
        <v>0</v>
      </c>
      <c r="U37" s="59">
        <f t="shared" si="11"/>
        <v>0</v>
      </c>
      <c r="V37" s="59">
        <f t="shared" si="11"/>
        <v>0</v>
      </c>
      <c r="W37" s="59">
        <f t="shared" si="11"/>
        <v>0</v>
      </c>
      <c r="X37" s="59">
        <f t="shared" si="11"/>
        <v>0</v>
      </c>
      <c r="Y37" s="59">
        <f t="shared" si="11"/>
        <v>0</v>
      </c>
      <c r="Z37" s="59">
        <f t="shared" si="11"/>
        <v>0</v>
      </c>
      <c r="AA37" s="59">
        <f t="shared" si="11"/>
        <v>0</v>
      </c>
      <c r="AB37" s="59">
        <f t="shared" si="11"/>
        <v>0</v>
      </c>
      <c r="AC37" s="59">
        <f t="shared" si="11"/>
        <v>0</v>
      </c>
      <c r="AD37" s="59">
        <f t="shared" si="11"/>
        <v>0</v>
      </c>
      <c r="AE37" s="59">
        <f t="shared" si="11"/>
        <v>0</v>
      </c>
      <c r="AF37" s="59">
        <f t="shared" si="11"/>
        <v>0</v>
      </c>
      <c r="AG37" s="259">
        <f t="shared" si="11"/>
        <v>0</v>
      </c>
      <c r="AH37" s="59">
        <f t="shared" si="11"/>
        <v>0</v>
      </c>
      <c r="AI37" s="59">
        <f t="shared" si="11"/>
        <v>0</v>
      </c>
      <c r="AJ37" s="59">
        <f t="shared" si="11"/>
        <v>0</v>
      </c>
      <c r="AK37" s="59">
        <f t="shared" si="11"/>
        <v>0</v>
      </c>
      <c r="AL37" s="59">
        <f t="shared" si="11"/>
        <v>0</v>
      </c>
      <c r="AM37" s="59">
        <f t="shared" si="11"/>
        <v>0</v>
      </c>
      <c r="AN37" s="59">
        <f t="shared" si="11"/>
        <v>0</v>
      </c>
      <c r="AO37" s="59">
        <f t="shared" si="11"/>
        <v>0</v>
      </c>
      <c r="AP37" s="59">
        <f t="shared" si="11"/>
        <v>0</v>
      </c>
      <c r="AQ37" s="59">
        <f t="shared" si="11"/>
        <v>0</v>
      </c>
      <c r="AR37" s="59">
        <f t="shared" si="11"/>
        <v>0</v>
      </c>
      <c r="AS37" s="59">
        <f t="shared" si="11"/>
        <v>0</v>
      </c>
      <c r="AT37" s="59">
        <f t="shared" si="11"/>
        <v>0</v>
      </c>
      <c r="AU37" s="59">
        <f t="shared" si="11"/>
        <v>0</v>
      </c>
      <c r="AV37" s="59">
        <f t="shared" si="11"/>
        <v>0</v>
      </c>
      <c r="AW37" s="59">
        <f t="shared" si="11"/>
        <v>0</v>
      </c>
      <c r="AX37" s="59">
        <f t="shared" si="11"/>
        <v>0</v>
      </c>
    </row>
    <row r="38" spans="2:50">
      <c r="B38" s="59" t="s">
        <v>215</v>
      </c>
      <c r="C38" s="59">
        <f t="shared" ref="C38:AX38" si="12">28-C37-C36-C35-C34-C33</f>
        <v>28</v>
      </c>
      <c r="D38" s="59">
        <f t="shared" si="12"/>
        <v>28</v>
      </c>
      <c r="E38" s="59">
        <f t="shared" si="12"/>
        <v>28</v>
      </c>
      <c r="F38" s="59">
        <f t="shared" si="12"/>
        <v>28</v>
      </c>
      <c r="G38" s="59">
        <f t="shared" si="12"/>
        <v>28</v>
      </c>
      <c r="H38" s="59">
        <f t="shared" si="12"/>
        <v>28</v>
      </c>
      <c r="I38" s="59">
        <f t="shared" si="12"/>
        <v>28</v>
      </c>
      <c r="J38" s="59">
        <f t="shared" si="12"/>
        <v>28</v>
      </c>
      <c r="K38" s="59">
        <f t="shared" si="12"/>
        <v>28</v>
      </c>
      <c r="L38" s="59">
        <f t="shared" si="12"/>
        <v>28</v>
      </c>
      <c r="M38" s="59">
        <f t="shared" si="12"/>
        <v>28</v>
      </c>
      <c r="N38" s="59">
        <f t="shared" si="12"/>
        <v>28</v>
      </c>
      <c r="O38" s="59">
        <f t="shared" si="12"/>
        <v>28</v>
      </c>
      <c r="P38" s="59">
        <f t="shared" si="12"/>
        <v>28</v>
      </c>
      <c r="Q38" s="59">
        <f t="shared" si="12"/>
        <v>28</v>
      </c>
      <c r="R38" s="59">
        <f t="shared" si="12"/>
        <v>28</v>
      </c>
      <c r="S38" s="59">
        <f t="shared" si="12"/>
        <v>28</v>
      </c>
      <c r="T38" s="59">
        <f t="shared" si="12"/>
        <v>28</v>
      </c>
      <c r="U38" s="59">
        <f t="shared" si="12"/>
        <v>28</v>
      </c>
      <c r="V38" s="59">
        <f t="shared" si="12"/>
        <v>28</v>
      </c>
      <c r="W38" s="59">
        <f t="shared" si="12"/>
        <v>28</v>
      </c>
      <c r="X38" s="59">
        <f t="shared" si="12"/>
        <v>28</v>
      </c>
      <c r="Y38" s="59">
        <f t="shared" si="12"/>
        <v>28</v>
      </c>
      <c r="Z38" s="59">
        <f t="shared" si="12"/>
        <v>28</v>
      </c>
      <c r="AA38" s="59">
        <f t="shared" si="12"/>
        <v>28</v>
      </c>
      <c r="AB38" s="59">
        <f t="shared" si="12"/>
        <v>28</v>
      </c>
      <c r="AC38" s="59">
        <f t="shared" si="12"/>
        <v>28</v>
      </c>
      <c r="AD38" s="59">
        <f t="shared" si="12"/>
        <v>28</v>
      </c>
      <c r="AE38" s="59">
        <f t="shared" si="12"/>
        <v>28</v>
      </c>
      <c r="AF38" s="59">
        <f t="shared" si="12"/>
        <v>28</v>
      </c>
      <c r="AG38" s="259">
        <f t="shared" si="12"/>
        <v>28</v>
      </c>
      <c r="AH38" s="59">
        <f t="shared" si="12"/>
        <v>28</v>
      </c>
      <c r="AI38" s="59">
        <f t="shared" si="12"/>
        <v>28</v>
      </c>
      <c r="AJ38" s="59">
        <f t="shared" si="12"/>
        <v>28</v>
      </c>
      <c r="AK38" s="59">
        <f t="shared" si="12"/>
        <v>28</v>
      </c>
      <c r="AL38" s="59">
        <f t="shared" si="12"/>
        <v>28</v>
      </c>
      <c r="AM38" s="59">
        <f t="shared" si="12"/>
        <v>28</v>
      </c>
      <c r="AN38" s="59">
        <f t="shared" si="12"/>
        <v>28</v>
      </c>
      <c r="AO38" s="59">
        <f t="shared" si="12"/>
        <v>28</v>
      </c>
      <c r="AP38" s="59">
        <f t="shared" si="12"/>
        <v>28</v>
      </c>
      <c r="AQ38" s="59">
        <f t="shared" si="12"/>
        <v>28</v>
      </c>
      <c r="AR38" s="59">
        <f t="shared" si="12"/>
        <v>28</v>
      </c>
      <c r="AS38" s="59">
        <f t="shared" si="12"/>
        <v>28</v>
      </c>
      <c r="AT38" s="59">
        <f t="shared" si="12"/>
        <v>23</v>
      </c>
      <c r="AU38" s="59">
        <f t="shared" si="12"/>
        <v>28</v>
      </c>
      <c r="AV38" s="59">
        <f t="shared" si="12"/>
        <v>28</v>
      </c>
      <c r="AW38" s="59">
        <f t="shared" si="12"/>
        <v>28</v>
      </c>
      <c r="AX38" s="59">
        <f t="shared" si="12"/>
        <v>28</v>
      </c>
    </row>
    <row r="39" spans="2:50" ht="14.25">
      <c r="B39" s="62" t="s">
        <v>216</v>
      </c>
      <c r="C39" s="59">
        <f>SUM(C33:C38)</f>
        <v>28</v>
      </c>
      <c r="D39" s="59">
        <f t="shared" ref="D39:AX39" si="13">SUM(D33:D38)</f>
        <v>28</v>
      </c>
      <c r="E39" s="59">
        <f t="shared" si="13"/>
        <v>28</v>
      </c>
      <c r="F39" s="59">
        <f t="shared" si="13"/>
        <v>28</v>
      </c>
      <c r="G39" s="59">
        <f t="shared" si="13"/>
        <v>28</v>
      </c>
      <c r="H39" s="59">
        <f t="shared" si="13"/>
        <v>28</v>
      </c>
      <c r="I39" s="59">
        <f t="shared" si="13"/>
        <v>28</v>
      </c>
      <c r="J39" s="59">
        <f t="shared" si="13"/>
        <v>28</v>
      </c>
      <c r="K39" s="59">
        <f t="shared" si="13"/>
        <v>28</v>
      </c>
      <c r="L39" s="59">
        <f t="shared" si="13"/>
        <v>28</v>
      </c>
      <c r="M39" s="59">
        <f t="shared" si="13"/>
        <v>28</v>
      </c>
      <c r="N39" s="59">
        <f t="shared" si="13"/>
        <v>28</v>
      </c>
      <c r="O39" s="59">
        <f t="shared" si="13"/>
        <v>28</v>
      </c>
      <c r="P39" s="59">
        <f t="shared" si="13"/>
        <v>28</v>
      </c>
      <c r="Q39" s="59">
        <f t="shared" si="13"/>
        <v>28</v>
      </c>
      <c r="R39" s="59">
        <f t="shared" si="13"/>
        <v>28</v>
      </c>
      <c r="S39" s="59">
        <f t="shared" si="13"/>
        <v>28</v>
      </c>
      <c r="T39" s="59">
        <f t="shared" si="13"/>
        <v>28</v>
      </c>
      <c r="U39" s="59">
        <f t="shared" si="13"/>
        <v>28</v>
      </c>
      <c r="V39" s="59">
        <f t="shared" si="13"/>
        <v>28</v>
      </c>
      <c r="W39" s="59">
        <f t="shared" si="13"/>
        <v>28</v>
      </c>
      <c r="X39" s="59">
        <f t="shared" si="13"/>
        <v>28</v>
      </c>
      <c r="Y39" s="59">
        <f t="shared" si="13"/>
        <v>28</v>
      </c>
      <c r="Z39" s="59">
        <f t="shared" si="13"/>
        <v>28</v>
      </c>
      <c r="AA39" s="59">
        <f t="shared" si="13"/>
        <v>28</v>
      </c>
      <c r="AB39" s="59">
        <f t="shared" si="13"/>
        <v>28</v>
      </c>
      <c r="AC39" s="59">
        <f t="shared" si="13"/>
        <v>28</v>
      </c>
      <c r="AD39" s="59">
        <f t="shared" si="13"/>
        <v>28</v>
      </c>
      <c r="AE39" s="59">
        <f t="shared" si="13"/>
        <v>28</v>
      </c>
      <c r="AF39" s="59">
        <f t="shared" si="13"/>
        <v>28</v>
      </c>
      <c r="AG39" s="59">
        <f t="shared" si="13"/>
        <v>28</v>
      </c>
      <c r="AH39" s="59">
        <f t="shared" si="13"/>
        <v>28</v>
      </c>
      <c r="AI39" s="59">
        <f t="shared" si="13"/>
        <v>28</v>
      </c>
      <c r="AJ39" s="59">
        <f t="shared" si="13"/>
        <v>28</v>
      </c>
      <c r="AK39" s="59">
        <f t="shared" si="13"/>
        <v>28</v>
      </c>
      <c r="AL39" s="59">
        <f t="shared" si="13"/>
        <v>28</v>
      </c>
      <c r="AM39" s="59">
        <f t="shared" si="13"/>
        <v>28</v>
      </c>
      <c r="AN39" s="59">
        <f t="shared" si="13"/>
        <v>28</v>
      </c>
      <c r="AO39" s="59">
        <f t="shared" si="13"/>
        <v>28</v>
      </c>
      <c r="AP39" s="59">
        <f t="shared" si="13"/>
        <v>28</v>
      </c>
      <c r="AQ39" s="59">
        <f t="shared" si="13"/>
        <v>28</v>
      </c>
      <c r="AR39" s="59">
        <f t="shared" si="13"/>
        <v>28</v>
      </c>
      <c r="AS39" s="59">
        <f t="shared" si="13"/>
        <v>28</v>
      </c>
      <c r="AT39" s="59">
        <f t="shared" si="13"/>
        <v>28</v>
      </c>
      <c r="AU39" s="59">
        <f t="shared" si="13"/>
        <v>28</v>
      </c>
      <c r="AV39" s="59">
        <f t="shared" si="13"/>
        <v>28</v>
      </c>
      <c r="AW39" s="59">
        <f t="shared" si="13"/>
        <v>28</v>
      </c>
      <c r="AX39" s="59">
        <f t="shared" si="13"/>
        <v>28</v>
      </c>
    </row>
  </sheetData>
  <mergeCells count="6">
    <mergeCell ref="AR2:AS2"/>
    <mergeCell ref="AT2:AU2"/>
    <mergeCell ref="AV2:AX2"/>
    <mergeCell ref="A1:AG1"/>
    <mergeCell ref="A2:B2"/>
    <mergeCell ref="AH1:AQ1"/>
  </mergeCells>
  <phoneticPr fontId="2" type="noConversion"/>
  <pageMargins left="0.19685039370078741" right="0.19685039370078741" top="0.59055118110236227" bottom="0.39370078740157483" header="0" footer="0"/>
  <pageSetup paperSize="9" firstPageNumber="0" fitToWidth="0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52"/>
  <sheetViews>
    <sheetView workbookViewId="0">
      <selection activeCell="G26" sqref="G26"/>
    </sheetView>
  </sheetViews>
  <sheetFormatPr defaultRowHeight="16.5"/>
  <cols>
    <col min="1" max="16384" width="9" style="10"/>
  </cols>
  <sheetData>
    <row r="1" spans="1:6" s="145" customFormat="1" ht="17.25" thickBot="1">
      <c r="A1" s="50">
        <v>43886</v>
      </c>
      <c r="B1" s="22"/>
      <c r="C1" s="501" t="s">
        <v>123</v>
      </c>
      <c r="D1" s="502"/>
      <c r="E1" s="22"/>
      <c r="F1" s="23"/>
    </row>
    <row r="2" spans="1:6" s="145" customFormat="1" ht="17.25" thickTop="1">
      <c r="A2" s="461" t="s">
        <v>149</v>
      </c>
      <c r="B2" s="503"/>
      <c r="C2" s="461" t="s">
        <v>150</v>
      </c>
      <c r="D2" s="503"/>
      <c r="E2" s="461" t="s">
        <v>151</v>
      </c>
      <c r="F2" s="503"/>
    </row>
    <row r="3" spans="1:6" s="145" customFormat="1">
      <c r="A3" s="219">
        <v>140</v>
      </c>
      <c r="B3" s="220">
        <v>140</v>
      </c>
      <c r="C3" s="219">
        <v>125</v>
      </c>
      <c r="D3" s="220">
        <v>125</v>
      </c>
      <c r="E3" s="219">
        <v>140</v>
      </c>
      <c r="F3" s="220">
        <v>140</v>
      </c>
    </row>
    <row r="4" spans="1:6" s="145" customFormat="1">
      <c r="A4" s="31">
        <v>26</v>
      </c>
      <c r="B4" s="32">
        <v>14</v>
      </c>
      <c r="C4" s="31">
        <v>21</v>
      </c>
      <c r="D4" s="32">
        <v>13</v>
      </c>
      <c r="E4" s="31">
        <v>24</v>
      </c>
      <c r="F4" s="32">
        <v>4</v>
      </c>
    </row>
    <row r="5" spans="1:6" s="145" customFormat="1">
      <c r="A5" s="33" t="str">
        <f>VLOOKUP(A4,紀錄表!$A$3:$B$30,2,0)</f>
        <v>李文</v>
      </c>
      <c r="B5" s="34" t="str">
        <f>VLOOKUP(B4,紀錄表!$A$3:$B$30,2,0)</f>
        <v>高翊庭</v>
      </c>
      <c r="C5" s="33" t="str">
        <f>VLOOKUP(C4,紀錄表!$A$3:$B$30,2,0)</f>
        <v>楊筱歆</v>
      </c>
      <c r="D5" s="34" t="str">
        <f>VLOOKUP(D4,紀錄表!$A$3:$B$30,2,0)</f>
        <v>林季曄</v>
      </c>
      <c r="E5" s="33" t="str">
        <f>VLOOKUP(E4,紀錄表!$A$3:$B$30,2,0)</f>
        <v>王姿涵</v>
      </c>
      <c r="F5" s="34" t="str">
        <f>VLOOKUP(F4,紀錄表!$A$3:$B$30,2,0)</f>
        <v>李奎煜</v>
      </c>
    </row>
    <row r="6" spans="1:6" s="145" customFormat="1">
      <c r="A6" s="219">
        <v>140</v>
      </c>
      <c r="B6" s="220">
        <v>140</v>
      </c>
      <c r="C6" s="219">
        <v>135</v>
      </c>
      <c r="D6" s="220">
        <v>135</v>
      </c>
      <c r="E6" s="219">
        <v>140</v>
      </c>
      <c r="F6" s="220">
        <v>140</v>
      </c>
    </row>
    <row r="7" spans="1:6" s="145" customFormat="1">
      <c r="A7" s="228">
        <v>26</v>
      </c>
      <c r="B7" s="32">
        <v>1</v>
      </c>
      <c r="C7" s="31">
        <v>23</v>
      </c>
      <c r="D7" s="32">
        <v>6</v>
      </c>
      <c r="E7" s="31">
        <v>16</v>
      </c>
      <c r="F7" s="32">
        <v>12</v>
      </c>
    </row>
    <row r="8" spans="1:6" s="145" customFormat="1" ht="17.25" thickBot="1">
      <c r="A8" s="229" t="str">
        <f>VLOOKUP(A7,紀錄表!$A$3:$B$30,2,0)</f>
        <v>李文</v>
      </c>
      <c r="B8" s="36" t="str">
        <f>VLOOKUP(B7,紀錄表!$A$3:$B$30,2,0)</f>
        <v>陳威劭</v>
      </c>
      <c r="C8" s="35" t="str">
        <f>VLOOKUP(C7,紀錄表!$A$3:$B$30,2,0)</f>
        <v>張涵甯</v>
      </c>
      <c r="D8" s="36" t="str">
        <f>VLOOKUP(D7,紀錄表!$A$3:$B$30,2,0)</f>
        <v>王奕勳</v>
      </c>
      <c r="E8" s="35" t="str">
        <f>VLOOKUP(E7,紀錄表!$A$3:$B$30,2,0)</f>
        <v>曾琛晞</v>
      </c>
      <c r="F8" s="36" t="str">
        <f>VLOOKUP(F7,紀錄表!$A$3:$B$30,2,0)</f>
        <v>魏宇謙</v>
      </c>
    </row>
    <row r="9" spans="1:6" s="145" customFormat="1" ht="18" thickTop="1" thickBot="1">
      <c r="A9" s="461" t="s">
        <v>535</v>
      </c>
      <c r="B9" s="503"/>
      <c r="C9" s="461" t="s">
        <v>195</v>
      </c>
      <c r="D9" s="503"/>
      <c r="E9" s="461" t="s">
        <v>196</v>
      </c>
      <c r="F9" s="503"/>
    </row>
    <row r="10" spans="1:6" s="145" customFormat="1" ht="17.25" thickTop="1">
      <c r="A10" s="223">
        <v>145</v>
      </c>
      <c r="B10" s="224">
        <v>145</v>
      </c>
      <c r="C10" s="223">
        <v>135</v>
      </c>
      <c r="D10" s="230">
        <v>135</v>
      </c>
      <c r="E10" s="223">
        <v>145</v>
      </c>
      <c r="F10" s="224">
        <v>145</v>
      </c>
    </row>
    <row r="11" spans="1:6" s="145" customFormat="1">
      <c r="A11" s="31">
        <v>15</v>
      </c>
      <c r="B11" s="32">
        <v>2</v>
      </c>
      <c r="C11" s="43">
        <v>18</v>
      </c>
      <c r="D11" s="52">
        <v>8</v>
      </c>
      <c r="E11" s="31">
        <v>21</v>
      </c>
      <c r="F11" s="46">
        <v>10</v>
      </c>
    </row>
    <row r="12" spans="1:6" s="145" customFormat="1">
      <c r="A12" s="33" t="str">
        <f>VLOOKUP(A11,紀錄表!$A$3:$B$30,2,0)</f>
        <v>藍彩華</v>
      </c>
      <c r="B12" s="34" t="str">
        <f>VLOOKUP(B11,紀錄表!$A$3:$B$30,2,0)</f>
        <v>周宗慶</v>
      </c>
      <c r="C12" s="44" t="str">
        <f>VLOOKUP(C11,紀錄表!$A$3:$B$30,2,0)</f>
        <v>許凌菲</v>
      </c>
      <c r="D12" s="222" t="str">
        <f>VLOOKUP(D11,紀錄表!$A$3:$B$30,2,0)</f>
        <v>洪楷珅</v>
      </c>
      <c r="E12" s="33" t="str">
        <f>VLOOKUP(E11,紀錄表!$A$3:$B$30,2,0)</f>
        <v>楊筱歆</v>
      </c>
      <c r="F12" s="225" t="str">
        <f>VLOOKUP(F11,紀錄表!$A$3:$B$30,2,0)</f>
        <v>李宥霆</v>
      </c>
    </row>
    <row r="13" spans="1:6" s="145" customFormat="1">
      <c r="A13" s="219">
        <v>150</v>
      </c>
      <c r="B13" s="220">
        <v>150</v>
      </c>
      <c r="C13" s="219">
        <v>145</v>
      </c>
      <c r="D13" s="221">
        <v>145</v>
      </c>
      <c r="E13" s="219">
        <v>150</v>
      </c>
      <c r="F13" s="220">
        <v>150</v>
      </c>
    </row>
    <row r="14" spans="1:6" s="145" customFormat="1">
      <c r="A14" s="31">
        <v>25</v>
      </c>
      <c r="B14" s="46">
        <v>7</v>
      </c>
      <c r="C14" s="31">
        <v>28</v>
      </c>
      <c r="D14" s="52">
        <v>11</v>
      </c>
      <c r="E14" s="43">
        <v>17</v>
      </c>
      <c r="F14" s="32">
        <v>9</v>
      </c>
    </row>
    <row r="15" spans="1:6" s="145" customFormat="1">
      <c r="A15" s="33" t="str">
        <f>VLOOKUP(A14,紀錄表!$A$3:$B$30,2,0)</f>
        <v>林昱萱</v>
      </c>
      <c r="B15" s="225" t="str">
        <f>VLOOKUP(B14,紀錄表!$A$3:$B$30,2,0)</f>
        <v>葉彥均</v>
      </c>
      <c r="C15" s="33" t="e">
        <f>VLOOKUP(C14,紀錄表!$A$3:$B$30,2,0)</f>
        <v>#N/A</v>
      </c>
      <c r="D15" s="222" t="str">
        <f>VLOOKUP(D14,紀錄表!$A$3:$B$30,2,0)</f>
        <v>柯皓哲</v>
      </c>
      <c r="E15" s="44" t="str">
        <f>VLOOKUP(E14,紀錄表!$A$3:$B$30,2,0)</f>
        <v>張智函</v>
      </c>
      <c r="F15" s="34" t="str">
        <f>VLOOKUP(F14,紀錄表!$A$3:$B$30,2,0)</f>
        <v>吳承哲</v>
      </c>
    </row>
    <row r="16" spans="1:6" s="145" customFormat="1">
      <c r="A16" s="37">
        <v>150</v>
      </c>
      <c r="B16" s="39">
        <v>150</v>
      </c>
      <c r="C16" s="37">
        <v>145</v>
      </c>
      <c r="D16" s="231">
        <v>145</v>
      </c>
      <c r="E16" s="37">
        <v>150</v>
      </c>
      <c r="F16" s="39">
        <v>150</v>
      </c>
    </row>
    <row r="17" spans="1:6" s="145" customFormat="1">
      <c r="A17" s="31">
        <v>20</v>
      </c>
      <c r="B17" s="32">
        <v>5</v>
      </c>
      <c r="C17" s="31">
        <v>22</v>
      </c>
      <c r="D17" s="52"/>
      <c r="E17" s="31">
        <v>19</v>
      </c>
      <c r="F17" s="32">
        <v>3</v>
      </c>
    </row>
    <row r="18" spans="1:6" s="145" customFormat="1" ht="17.25" thickBot="1">
      <c r="A18" s="35" t="str">
        <f>VLOOKUP(A17,紀錄表!$A$3:$B$30,2,0)</f>
        <v>蔡羽媗</v>
      </c>
      <c r="B18" s="36" t="str">
        <f>VLOOKUP(B17,紀錄表!$A$3:$B$30,2,0)</f>
        <v>葉翃均</v>
      </c>
      <c r="C18" s="35" t="str">
        <f>VLOOKUP(C17,紀錄表!$A$3:$B$30,2,0)</f>
        <v>邱詩涵</v>
      </c>
      <c r="D18" s="54"/>
      <c r="E18" s="35" t="str">
        <f>VLOOKUP(E17,紀錄表!$A$3:$B$30,2,0)</f>
        <v>吳羽棠</v>
      </c>
      <c r="F18" s="36" t="str">
        <f>VLOOKUP(F17,紀錄表!$A$3:$B$30,2,0)</f>
        <v>林昱任</v>
      </c>
    </row>
    <row r="19" spans="1:6" ht="18" thickTop="1" thickBot="1">
      <c r="A19" s="50">
        <v>43341</v>
      </c>
      <c r="B19" s="22"/>
      <c r="C19" s="501" t="s">
        <v>123</v>
      </c>
      <c r="D19" s="508"/>
      <c r="E19" s="226"/>
      <c r="F19" s="227"/>
    </row>
    <row r="20" spans="1:6" ht="17.25" thickTop="1">
      <c r="A20" s="461" t="s">
        <v>149</v>
      </c>
      <c r="B20" s="503"/>
      <c r="C20" s="461" t="s">
        <v>150</v>
      </c>
      <c r="D20" s="503"/>
      <c r="E20" s="461" t="s">
        <v>151</v>
      </c>
      <c r="F20" s="503"/>
    </row>
    <row r="21" spans="1:6">
      <c r="A21" s="29">
        <v>140</v>
      </c>
      <c r="B21" s="30">
        <v>140</v>
      </c>
      <c r="C21" s="29">
        <v>125</v>
      </c>
      <c r="D21" s="30">
        <v>125</v>
      </c>
      <c r="E21" s="29">
        <v>140</v>
      </c>
      <c r="F21" s="30">
        <v>140</v>
      </c>
    </row>
    <row r="22" spans="1:6">
      <c r="A22" s="31">
        <v>26</v>
      </c>
      <c r="B22" s="32">
        <v>14</v>
      </c>
      <c r="C22" s="31">
        <v>29</v>
      </c>
      <c r="D22" s="32">
        <v>13</v>
      </c>
      <c r="E22" s="31">
        <v>24</v>
      </c>
      <c r="F22" s="32">
        <v>4</v>
      </c>
    </row>
    <row r="23" spans="1:6">
      <c r="A23" s="33" t="str">
        <f>VLOOKUP(A22,紀錄表!$A$3:$B$30,2,0)</f>
        <v>李文</v>
      </c>
      <c r="B23" s="34" t="str">
        <f>VLOOKUP(B22,紀錄表!$A$3:$B$30,2,0)</f>
        <v>高翊庭</v>
      </c>
      <c r="C23" s="33" t="e">
        <f>VLOOKUP(C22,紀錄表!$A$3:$B$30,2,0)</f>
        <v>#N/A</v>
      </c>
      <c r="D23" s="34" t="str">
        <f>VLOOKUP(D22,紀錄表!$A$3:$B$30,2,0)</f>
        <v>林季曄</v>
      </c>
      <c r="E23" s="33" t="str">
        <f>VLOOKUP(E22,紀錄表!$A$3:$B$30,2,0)</f>
        <v>王姿涵</v>
      </c>
      <c r="F23" s="34" t="str">
        <f>VLOOKUP(F22,紀錄表!$A$3:$B$30,2,0)</f>
        <v>李奎煜</v>
      </c>
    </row>
    <row r="24" spans="1:6">
      <c r="A24" s="29">
        <v>140</v>
      </c>
      <c r="B24" s="30">
        <v>140</v>
      </c>
      <c r="C24" s="29">
        <v>135</v>
      </c>
      <c r="D24" s="30">
        <v>135</v>
      </c>
      <c r="E24" s="29">
        <v>140</v>
      </c>
      <c r="F24" s="30">
        <v>140</v>
      </c>
    </row>
    <row r="25" spans="1:6">
      <c r="A25" s="43">
        <v>27</v>
      </c>
      <c r="B25" s="32">
        <v>1</v>
      </c>
      <c r="C25" s="31">
        <v>23</v>
      </c>
      <c r="D25" s="32">
        <v>6</v>
      </c>
      <c r="E25" s="31">
        <v>16</v>
      </c>
      <c r="F25" s="32">
        <v>12</v>
      </c>
    </row>
    <row r="26" spans="1:6">
      <c r="A26" s="44" t="e">
        <f>VLOOKUP(A25,紀錄表!$A$3:$B$30,2,0)</f>
        <v>#N/A</v>
      </c>
      <c r="B26" s="34" t="str">
        <f>VLOOKUP(B25,紀錄表!$A$3:$B$30,2,0)</f>
        <v>陳威劭</v>
      </c>
      <c r="C26" s="33" t="str">
        <f>VLOOKUP(C25,紀錄表!$A$3:$B$30,2,0)</f>
        <v>張涵甯</v>
      </c>
      <c r="D26" s="34" t="str">
        <f>VLOOKUP(D25,紀錄表!$A$3:$B$30,2,0)</f>
        <v>王奕勳</v>
      </c>
      <c r="E26" s="33" t="str">
        <f>VLOOKUP(E25,紀錄表!$A$3:$B$30,2,0)</f>
        <v>曾琛晞</v>
      </c>
      <c r="F26" s="34" t="str">
        <f>VLOOKUP(F25,紀錄表!$A$3:$B$30,2,0)</f>
        <v>魏宇謙</v>
      </c>
    </row>
    <row r="27" spans="1:6">
      <c r="A27" s="29">
        <v>145</v>
      </c>
      <c r="B27" s="30">
        <v>145</v>
      </c>
      <c r="C27" s="29">
        <v>135</v>
      </c>
      <c r="D27" s="30">
        <v>135</v>
      </c>
      <c r="E27" s="29">
        <v>145</v>
      </c>
      <c r="F27" s="30">
        <v>145</v>
      </c>
    </row>
    <row r="28" spans="1:6">
      <c r="A28" s="31">
        <v>15</v>
      </c>
      <c r="B28" s="32">
        <v>2</v>
      </c>
      <c r="C28" s="43">
        <v>18</v>
      </c>
      <c r="D28" s="32">
        <v>8</v>
      </c>
      <c r="E28" s="31">
        <v>21</v>
      </c>
      <c r="F28" s="46">
        <v>10</v>
      </c>
    </row>
    <row r="29" spans="1:6" ht="17.25" thickBot="1">
      <c r="A29" s="35" t="str">
        <f>VLOOKUP(A28,紀錄表!$A$3:$B$30,2,0)</f>
        <v>藍彩華</v>
      </c>
      <c r="B29" s="36" t="str">
        <f>VLOOKUP(B28,紀錄表!$A$3:$B$30,2,0)</f>
        <v>周宗慶</v>
      </c>
      <c r="C29" s="45" t="str">
        <f>VLOOKUP(C28,紀錄表!$A$3:$B$30,2,0)</f>
        <v>許凌菲</v>
      </c>
      <c r="D29" s="36" t="str">
        <f>VLOOKUP(D28,紀錄表!$A$3:$B$30,2,0)</f>
        <v>洪楷珅</v>
      </c>
      <c r="E29" s="35" t="str">
        <f>VLOOKUP(E28,紀錄表!$A$3:$B$30,2,0)</f>
        <v>楊筱歆</v>
      </c>
      <c r="F29" s="47" t="str">
        <f>VLOOKUP(F28,紀錄表!$A$3:$B$30,2,0)</f>
        <v>李宥霆</v>
      </c>
    </row>
    <row r="30" spans="1:6" ht="17.25" thickTop="1">
      <c r="A30" s="461" t="s">
        <v>152</v>
      </c>
      <c r="B30" s="509"/>
      <c r="C30" s="503"/>
      <c r="D30" s="461" t="s">
        <v>153</v>
      </c>
      <c r="E30" s="509"/>
      <c r="F30" s="503"/>
    </row>
    <row r="31" spans="1:6">
      <c r="A31" s="29">
        <v>150</v>
      </c>
      <c r="B31" s="24">
        <v>150</v>
      </c>
      <c r="C31" s="30">
        <v>145</v>
      </c>
      <c r="D31" s="29">
        <v>145</v>
      </c>
      <c r="E31" s="24">
        <v>150</v>
      </c>
      <c r="F31" s="30">
        <v>150</v>
      </c>
    </row>
    <row r="32" spans="1:6">
      <c r="A32" s="31">
        <v>25</v>
      </c>
      <c r="B32" s="48">
        <v>7</v>
      </c>
      <c r="C32" s="32">
        <v>28</v>
      </c>
      <c r="D32" s="31">
        <v>11</v>
      </c>
      <c r="E32" s="48">
        <v>17</v>
      </c>
      <c r="F32" s="32">
        <v>9</v>
      </c>
    </row>
    <row r="33" spans="1:6">
      <c r="A33" s="33" t="str">
        <f>VLOOKUP(A32,紀錄表!$A$3:$B$30,2,0)</f>
        <v>林昱萱</v>
      </c>
      <c r="B33" s="49" t="str">
        <f>VLOOKUP(B32,紀錄表!$A$3:$B$30,2,0)</f>
        <v>葉彥均</v>
      </c>
      <c r="C33" s="34" t="e">
        <f>VLOOKUP(C32,紀錄表!$A$3:$B$30,2,0)</f>
        <v>#N/A</v>
      </c>
      <c r="D33" s="33" t="str">
        <f>VLOOKUP(D32,紀錄表!$A$3:$B$30,2,0)</f>
        <v>柯皓哲</v>
      </c>
      <c r="E33" s="49" t="str">
        <f>VLOOKUP(E32,紀錄表!$A$3:$B$30,2,0)</f>
        <v>張智函</v>
      </c>
      <c r="F33" s="34" t="str">
        <f>VLOOKUP(F32,紀錄表!$A$3:$B$30,2,0)</f>
        <v>吳承哲</v>
      </c>
    </row>
    <row r="34" spans="1:6">
      <c r="A34" s="37">
        <v>150</v>
      </c>
      <c r="B34" s="26">
        <v>150</v>
      </c>
      <c r="C34" s="37">
        <v>145</v>
      </c>
      <c r="D34" s="26">
        <v>145</v>
      </c>
      <c r="E34" s="26">
        <v>150</v>
      </c>
      <c r="F34" s="39">
        <v>150</v>
      </c>
    </row>
    <row r="35" spans="1:6">
      <c r="A35" s="31">
        <v>20</v>
      </c>
      <c r="B35" s="25">
        <v>5</v>
      </c>
      <c r="C35" s="32">
        <v>22</v>
      </c>
      <c r="D35" s="31"/>
      <c r="E35" s="25">
        <v>19</v>
      </c>
      <c r="F35" s="32">
        <v>3</v>
      </c>
    </row>
    <row r="36" spans="1:6" ht="17.25" thickBot="1">
      <c r="A36" s="35" t="str">
        <f>VLOOKUP(A35,紀錄表!$A$3:$B$30,2,0)</f>
        <v>蔡羽媗</v>
      </c>
      <c r="B36" s="38" t="str">
        <f>VLOOKUP(B35,紀錄表!$A$3:$B$30,2,0)</f>
        <v>葉翃均</v>
      </c>
      <c r="C36" s="36" t="str">
        <f>VLOOKUP(C35,紀錄表!$A$3:$B$30,2,0)</f>
        <v>邱詩涵</v>
      </c>
      <c r="D36" s="35"/>
      <c r="E36" s="38" t="str">
        <f>VLOOKUP(E35,紀錄表!$A$3:$B$30,2,0)</f>
        <v>吳羽棠</v>
      </c>
      <c r="F36" s="36" t="str">
        <f>VLOOKUP(F35,紀錄表!$A$3:$B$30,2,0)</f>
        <v>林昱任</v>
      </c>
    </row>
    <row r="37" spans="1:6" ht="17.25" thickTop="1"/>
    <row r="38" spans="1:6">
      <c r="E38" s="10" t="s">
        <v>230</v>
      </c>
    </row>
    <row r="39" spans="1:6" ht="28.5" customHeight="1" thickBot="1">
      <c r="A39" s="507" t="s">
        <v>197</v>
      </c>
      <c r="B39" s="507"/>
      <c r="C39" s="507"/>
      <c r="D39" s="507"/>
      <c r="E39" s="507"/>
      <c r="F39" s="507"/>
    </row>
    <row r="40" spans="1:6" ht="17.25" thickTop="1">
      <c r="A40" s="504" t="s">
        <v>194</v>
      </c>
      <c r="B40" s="506"/>
      <c r="C40" s="504" t="s">
        <v>150</v>
      </c>
      <c r="D40" s="506"/>
      <c r="E40" s="504" t="s">
        <v>151</v>
      </c>
      <c r="F40" s="506"/>
    </row>
    <row r="41" spans="1:6" ht="24.75" customHeight="1">
      <c r="A41" s="51">
        <v>26</v>
      </c>
      <c r="B41" s="52">
        <v>14</v>
      </c>
      <c r="C41" s="51">
        <v>29</v>
      </c>
      <c r="D41" s="52">
        <v>13</v>
      </c>
      <c r="E41" s="51">
        <v>24</v>
      </c>
      <c r="F41" s="52">
        <v>4</v>
      </c>
    </row>
    <row r="42" spans="1:6" ht="24.75" customHeight="1">
      <c r="A42" s="51" t="s">
        <v>72</v>
      </c>
      <c r="B42" s="52" t="s">
        <v>36</v>
      </c>
      <c r="C42" s="51" t="s">
        <v>81</v>
      </c>
      <c r="D42" s="52" t="s">
        <v>33</v>
      </c>
      <c r="E42" s="51" t="s">
        <v>66</v>
      </c>
      <c r="F42" s="52" t="s">
        <v>10</v>
      </c>
    </row>
    <row r="43" spans="1:6" ht="24.75" customHeight="1">
      <c r="A43" s="51">
        <v>27</v>
      </c>
      <c r="B43" s="52">
        <v>1</v>
      </c>
      <c r="C43" s="51">
        <v>23</v>
      </c>
      <c r="D43" s="52">
        <v>6</v>
      </c>
      <c r="E43" s="51">
        <v>16</v>
      </c>
      <c r="F43" s="52">
        <v>12</v>
      </c>
    </row>
    <row r="44" spans="1:6" ht="24.75" customHeight="1">
      <c r="A44" s="51" t="s">
        <v>75</v>
      </c>
      <c r="B44" s="52" t="s">
        <v>3</v>
      </c>
      <c r="C44" s="51" t="s">
        <v>63</v>
      </c>
      <c r="D44" s="52" t="s">
        <v>16</v>
      </c>
      <c r="E44" s="51" t="s">
        <v>42</v>
      </c>
      <c r="F44" s="52" t="s">
        <v>30</v>
      </c>
    </row>
    <row r="45" spans="1:6" ht="24.75" customHeight="1">
      <c r="A45" s="51">
        <v>15</v>
      </c>
      <c r="B45" s="52">
        <v>2</v>
      </c>
      <c r="C45" s="51">
        <v>18</v>
      </c>
      <c r="D45" s="52">
        <v>8</v>
      </c>
      <c r="E45" s="51">
        <v>21</v>
      </c>
      <c r="F45" s="52">
        <v>10</v>
      </c>
    </row>
    <row r="46" spans="1:6" ht="24.75" customHeight="1" thickBot="1">
      <c r="A46" s="53" t="s">
        <v>39</v>
      </c>
      <c r="B46" s="54" t="s">
        <v>6</v>
      </c>
      <c r="C46" s="53" t="s">
        <v>48</v>
      </c>
      <c r="D46" s="54" t="s">
        <v>22</v>
      </c>
      <c r="E46" s="53" t="s">
        <v>57</v>
      </c>
      <c r="F46" s="54" t="s">
        <v>28</v>
      </c>
    </row>
    <row r="47" spans="1:6" ht="17.25" thickTop="1">
      <c r="A47" s="504" t="s">
        <v>195</v>
      </c>
      <c r="B47" s="505"/>
      <c r="C47" s="506"/>
      <c r="D47" s="504" t="s">
        <v>196</v>
      </c>
      <c r="E47" s="505"/>
      <c r="F47" s="506"/>
    </row>
    <row r="48" spans="1:6" ht="30.75" customHeight="1">
      <c r="A48" s="51">
        <v>25</v>
      </c>
      <c r="B48" s="55">
        <v>7</v>
      </c>
      <c r="C48" s="52">
        <v>28</v>
      </c>
      <c r="D48" s="51">
        <v>11</v>
      </c>
      <c r="E48" s="55">
        <v>17</v>
      </c>
      <c r="F48" s="52">
        <v>9</v>
      </c>
    </row>
    <row r="49" spans="1:6" ht="30.75" customHeight="1">
      <c r="A49" s="51" t="s">
        <v>69</v>
      </c>
      <c r="B49" s="55" t="s">
        <v>19</v>
      </c>
      <c r="C49" s="52" t="s">
        <v>78</v>
      </c>
      <c r="D49" s="51" t="s">
        <v>29</v>
      </c>
      <c r="E49" s="55" t="s">
        <v>45</v>
      </c>
      <c r="F49" s="52" t="s">
        <v>25</v>
      </c>
    </row>
    <row r="50" spans="1:6" ht="30.75" customHeight="1">
      <c r="A50" s="51">
        <v>20</v>
      </c>
      <c r="B50" s="55">
        <v>5</v>
      </c>
      <c r="C50" s="52">
        <v>22</v>
      </c>
      <c r="D50" s="51"/>
      <c r="E50" s="55">
        <v>19</v>
      </c>
      <c r="F50" s="52">
        <v>3</v>
      </c>
    </row>
    <row r="51" spans="1:6" ht="30.75" customHeight="1" thickBot="1">
      <c r="A51" s="53" t="s">
        <v>54</v>
      </c>
      <c r="B51" s="56" t="s">
        <v>13</v>
      </c>
      <c r="C51" s="54" t="s">
        <v>60</v>
      </c>
      <c r="D51" s="53"/>
      <c r="E51" s="56" t="s">
        <v>51</v>
      </c>
      <c r="F51" s="54" t="s">
        <v>9</v>
      </c>
    </row>
    <row r="52" spans="1:6" ht="17.25" thickTop="1"/>
  </sheetData>
  <mergeCells count="19">
    <mergeCell ref="A47:C47"/>
    <mergeCell ref="D47:F47"/>
    <mergeCell ref="A39:F39"/>
    <mergeCell ref="C19:D19"/>
    <mergeCell ref="A40:B40"/>
    <mergeCell ref="C40:D40"/>
    <mergeCell ref="E40:F40"/>
    <mergeCell ref="A30:C30"/>
    <mergeCell ref="D30:F30"/>
    <mergeCell ref="A20:B20"/>
    <mergeCell ref="C20:D20"/>
    <mergeCell ref="E20:F20"/>
    <mergeCell ref="C1:D1"/>
    <mergeCell ref="A2:B2"/>
    <mergeCell ref="C2:D2"/>
    <mergeCell ref="E2:F2"/>
    <mergeCell ref="A9:B9"/>
    <mergeCell ref="C9:D9"/>
    <mergeCell ref="E9:F9"/>
  </mergeCells>
  <phoneticPr fontId="2" type="noConversion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C5AA7-5A3E-43F3-B27F-AEDC2D008A4B}">
  <dimension ref="A1:M60"/>
  <sheetViews>
    <sheetView showGridLines="0" topLeftCell="A4" workbookViewId="0">
      <selection activeCell="M14" sqref="M14"/>
    </sheetView>
  </sheetViews>
  <sheetFormatPr defaultRowHeight="16.5"/>
  <cols>
    <col min="1" max="1" width="14" style="78" customWidth="1"/>
    <col min="2" max="6" width="10" style="78" customWidth="1"/>
    <col min="7" max="7" width="14" style="78" customWidth="1"/>
    <col min="8" max="12" width="10" style="78" customWidth="1"/>
    <col min="13" max="16384" width="9" style="78"/>
  </cols>
  <sheetData>
    <row r="1" spans="1:13" s="391" customFormat="1" ht="22.5" customHeight="1">
      <c r="A1" s="446" t="s">
        <v>1011</v>
      </c>
      <c r="B1" s="446"/>
      <c r="C1" s="446"/>
      <c r="D1" s="446"/>
      <c r="E1" s="446"/>
      <c r="F1" s="446"/>
      <c r="G1" s="446" t="s">
        <v>1011</v>
      </c>
      <c r="H1" s="446"/>
      <c r="I1" s="446"/>
      <c r="J1" s="446"/>
      <c r="K1" s="446"/>
      <c r="L1" s="446"/>
    </row>
    <row r="2" spans="1:13" s="391" customFormat="1" ht="22.5" customHeight="1">
      <c r="A2" s="442" t="s">
        <v>1012</v>
      </c>
      <c r="B2" s="442"/>
      <c r="C2" s="442"/>
      <c r="D2" s="442"/>
      <c r="E2" s="442"/>
      <c r="F2" s="442"/>
      <c r="G2" s="442" t="s">
        <v>1012</v>
      </c>
      <c r="H2" s="442"/>
      <c r="I2" s="442"/>
      <c r="J2" s="442"/>
      <c r="K2" s="442"/>
      <c r="L2" s="442"/>
    </row>
    <row r="3" spans="1:13" s="391" customFormat="1" ht="26.25" customHeight="1">
      <c r="A3" s="392" t="s">
        <v>1013</v>
      </c>
      <c r="B3" s="392" t="s">
        <v>103</v>
      </c>
      <c r="C3" s="392" t="s">
        <v>104</v>
      </c>
      <c r="D3" s="392" t="s">
        <v>105</v>
      </c>
      <c r="E3" s="392" t="s">
        <v>106</v>
      </c>
      <c r="F3" s="392" t="s">
        <v>107</v>
      </c>
      <c r="G3" s="392" t="s">
        <v>1013</v>
      </c>
      <c r="H3" s="392" t="s">
        <v>103</v>
      </c>
      <c r="I3" s="392" t="s">
        <v>104</v>
      </c>
      <c r="J3" s="392" t="s">
        <v>105</v>
      </c>
      <c r="K3" s="392" t="s">
        <v>106</v>
      </c>
      <c r="L3" s="392" t="s">
        <v>107</v>
      </c>
    </row>
    <row r="4" spans="1:13" s="391" customFormat="1" ht="16.5" customHeight="1">
      <c r="A4" s="443" t="s">
        <v>1023</v>
      </c>
      <c r="B4" s="444"/>
      <c r="C4" s="444"/>
      <c r="D4" s="444"/>
      <c r="E4" s="444"/>
      <c r="F4" s="445"/>
      <c r="G4" s="443" t="s">
        <v>1023</v>
      </c>
      <c r="H4" s="444"/>
      <c r="I4" s="444"/>
      <c r="J4" s="444"/>
      <c r="K4" s="444"/>
      <c r="L4" s="445"/>
    </row>
    <row r="5" spans="1:13" s="391" customFormat="1" ht="16.5" customHeight="1">
      <c r="A5" s="393" t="s">
        <v>108</v>
      </c>
      <c r="B5" s="394" t="s">
        <v>110</v>
      </c>
      <c r="C5" s="394" t="s">
        <v>999</v>
      </c>
      <c r="D5" s="394" t="s">
        <v>999</v>
      </c>
      <c r="E5" s="394" t="s">
        <v>112</v>
      </c>
      <c r="F5" s="394" t="s">
        <v>243</v>
      </c>
      <c r="G5" s="393" t="s">
        <v>108</v>
      </c>
      <c r="H5" s="394" t="s">
        <v>110</v>
      </c>
      <c r="I5" s="394" t="s">
        <v>999</v>
      </c>
      <c r="J5" s="394" t="s">
        <v>999</v>
      </c>
      <c r="K5" s="394" t="s">
        <v>112</v>
      </c>
      <c r="L5" s="394" t="s">
        <v>243</v>
      </c>
    </row>
    <row r="6" spans="1:13" s="391" customFormat="1" ht="16.5" customHeight="1">
      <c r="A6" s="395" t="s">
        <v>1014</v>
      </c>
      <c r="B6" s="396" t="s">
        <v>998</v>
      </c>
      <c r="C6" s="397"/>
      <c r="D6" s="397"/>
      <c r="E6" s="396" t="s">
        <v>1000</v>
      </c>
      <c r="F6" s="397"/>
      <c r="G6" s="395" t="s">
        <v>1014</v>
      </c>
      <c r="H6" s="396" t="s">
        <v>998</v>
      </c>
      <c r="I6" s="397"/>
      <c r="J6" s="397"/>
      <c r="K6" s="396" t="s">
        <v>1000</v>
      </c>
      <c r="L6" s="397"/>
    </row>
    <row r="7" spans="1:13" s="391" customFormat="1" ht="16.5" customHeight="1">
      <c r="A7" s="393" t="s">
        <v>111</v>
      </c>
      <c r="B7" s="394" t="s">
        <v>110</v>
      </c>
      <c r="C7" s="394" t="s">
        <v>112</v>
      </c>
      <c r="D7" s="394" t="s">
        <v>999</v>
      </c>
      <c r="E7" s="394" t="s">
        <v>115</v>
      </c>
      <c r="F7" s="394" t="s">
        <v>110</v>
      </c>
      <c r="G7" s="393" t="s">
        <v>111</v>
      </c>
      <c r="H7" s="394" t="s">
        <v>110</v>
      </c>
      <c r="I7" s="394" t="s">
        <v>112</v>
      </c>
      <c r="J7" s="394" t="s">
        <v>999</v>
      </c>
      <c r="K7" s="394" t="s">
        <v>115</v>
      </c>
      <c r="L7" s="394" t="s">
        <v>110</v>
      </c>
    </row>
    <row r="8" spans="1:13" s="391" customFormat="1" ht="16.5" customHeight="1">
      <c r="A8" s="395" t="s">
        <v>1015</v>
      </c>
      <c r="B8" s="396" t="s">
        <v>998</v>
      </c>
      <c r="C8" s="431" t="s">
        <v>1032</v>
      </c>
      <c r="D8" s="397"/>
      <c r="E8" s="396" t="s">
        <v>1001</v>
      </c>
      <c r="F8" s="396" t="s">
        <v>998</v>
      </c>
      <c r="G8" s="395" t="s">
        <v>1015</v>
      </c>
      <c r="H8" s="396" t="s">
        <v>998</v>
      </c>
      <c r="I8" s="396" t="s">
        <v>1000</v>
      </c>
      <c r="J8" s="397"/>
      <c r="K8" s="396" t="s">
        <v>1001</v>
      </c>
      <c r="L8" s="396" t="s">
        <v>998</v>
      </c>
    </row>
    <row r="9" spans="1:13" s="391" customFormat="1" ht="16.5" customHeight="1">
      <c r="A9" s="393" t="s">
        <v>114</v>
      </c>
      <c r="B9" s="394" t="s">
        <v>243</v>
      </c>
      <c r="C9" s="394" t="s">
        <v>109</v>
      </c>
      <c r="D9" s="394" t="s">
        <v>115</v>
      </c>
      <c r="E9" s="394" t="s">
        <v>109</v>
      </c>
      <c r="F9" s="394" t="s">
        <v>109</v>
      </c>
      <c r="G9" s="393" t="s">
        <v>114</v>
      </c>
      <c r="H9" s="394" t="s">
        <v>243</v>
      </c>
      <c r="I9" s="394" t="s">
        <v>109</v>
      </c>
      <c r="J9" s="394" t="s">
        <v>115</v>
      </c>
      <c r="K9" s="394" t="s">
        <v>109</v>
      </c>
      <c r="L9" s="394" t="s">
        <v>109</v>
      </c>
    </row>
    <row r="10" spans="1:13" s="391" customFormat="1" ht="16.5" customHeight="1">
      <c r="A10" s="395" t="s">
        <v>1016</v>
      </c>
      <c r="B10" s="397"/>
      <c r="C10" s="397"/>
      <c r="D10" s="396" t="s">
        <v>1001</v>
      </c>
      <c r="E10" s="397"/>
      <c r="F10" s="397"/>
      <c r="G10" s="395" t="s">
        <v>1016</v>
      </c>
      <c r="H10" s="397"/>
      <c r="I10" s="397"/>
      <c r="J10" s="396" t="s">
        <v>1001</v>
      </c>
      <c r="K10" s="397"/>
      <c r="L10" s="397"/>
    </row>
    <row r="11" spans="1:13" s="391" customFormat="1" ht="16.5" customHeight="1">
      <c r="A11" s="393" t="s">
        <v>116</v>
      </c>
      <c r="B11" s="394" t="s">
        <v>1002</v>
      </c>
      <c r="C11" s="394" t="s">
        <v>243</v>
      </c>
      <c r="D11" s="394" t="s">
        <v>115</v>
      </c>
      <c r="E11" s="394" t="s">
        <v>243</v>
      </c>
      <c r="F11" s="394" t="s">
        <v>1003</v>
      </c>
      <c r="G11" s="393" t="s">
        <v>116</v>
      </c>
      <c r="H11" s="394" t="s">
        <v>1002</v>
      </c>
      <c r="I11" s="394" t="s">
        <v>243</v>
      </c>
      <c r="J11" s="394" t="s">
        <v>115</v>
      </c>
      <c r="K11" s="394" t="s">
        <v>243</v>
      </c>
      <c r="L11" s="394" t="s">
        <v>1003</v>
      </c>
    </row>
    <row r="12" spans="1:13" s="391" customFormat="1" ht="16.5" customHeight="1">
      <c r="A12" s="395" t="s">
        <v>1017</v>
      </c>
      <c r="B12" s="397"/>
      <c r="C12" s="397"/>
      <c r="D12" s="396" t="s">
        <v>1001</v>
      </c>
      <c r="E12" s="397"/>
      <c r="F12" s="396" t="s">
        <v>1000</v>
      </c>
      <c r="G12" s="395" t="s">
        <v>1017</v>
      </c>
      <c r="H12" s="397"/>
      <c r="I12" s="397"/>
      <c r="J12" s="396" t="s">
        <v>1001</v>
      </c>
      <c r="K12" s="397"/>
      <c r="L12" s="396" t="s">
        <v>1000</v>
      </c>
    </row>
    <row r="13" spans="1:13" s="391" customFormat="1" ht="16.5" customHeight="1">
      <c r="A13" s="443" t="s">
        <v>118</v>
      </c>
      <c r="B13" s="444"/>
      <c r="C13" s="444"/>
      <c r="D13" s="444"/>
      <c r="E13" s="444"/>
      <c r="F13" s="445"/>
      <c r="G13" s="443" t="s">
        <v>118</v>
      </c>
      <c r="H13" s="444"/>
      <c r="I13" s="444"/>
      <c r="J13" s="444"/>
      <c r="K13" s="444"/>
      <c r="L13" s="445"/>
    </row>
    <row r="14" spans="1:13" s="391" customFormat="1" ht="16.5" customHeight="1">
      <c r="A14" s="439" t="s">
        <v>1018</v>
      </c>
      <c r="B14" s="440"/>
      <c r="C14" s="440"/>
      <c r="D14" s="440"/>
      <c r="E14" s="440"/>
      <c r="F14" s="441"/>
      <c r="G14" s="439" t="s">
        <v>1018</v>
      </c>
      <c r="H14" s="440"/>
      <c r="I14" s="440"/>
      <c r="J14" s="440"/>
      <c r="K14" s="440"/>
      <c r="L14" s="441"/>
      <c r="M14" s="575" t="s">
        <v>1033</v>
      </c>
    </row>
    <row r="15" spans="1:13" s="391" customFormat="1" ht="16.5" customHeight="1">
      <c r="A15" s="393" t="s">
        <v>119</v>
      </c>
      <c r="B15" s="394" t="s">
        <v>1004</v>
      </c>
      <c r="C15" s="398" t="s">
        <v>1022</v>
      </c>
      <c r="D15" s="437"/>
      <c r="E15" s="394" t="s">
        <v>1006</v>
      </c>
      <c r="F15" s="437"/>
      <c r="G15" s="393" t="s">
        <v>119</v>
      </c>
      <c r="H15" s="394" t="s">
        <v>1004</v>
      </c>
      <c r="I15" s="398" t="s">
        <v>1022</v>
      </c>
      <c r="J15" s="437"/>
      <c r="K15" s="394" t="s">
        <v>1006</v>
      </c>
      <c r="L15" s="437"/>
    </row>
    <row r="16" spans="1:13" s="391" customFormat="1" ht="16.5" customHeight="1">
      <c r="A16" s="395" t="s">
        <v>1019</v>
      </c>
      <c r="B16" s="396" t="s">
        <v>1005</v>
      </c>
      <c r="C16" s="396" t="s">
        <v>117</v>
      </c>
      <c r="D16" s="438"/>
      <c r="E16" s="397"/>
      <c r="F16" s="438"/>
      <c r="G16" s="395" t="s">
        <v>1019</v>
      </c>
      <c r="H16" s="396" t="s">
        <v>1005</v>
      </c>
      <c r="I16" s="396" t="s">
        <v>117</v>
      </c>
      <c r="J16" s="438"/>
      <c r="K16" s="397"/>
      <c r="L16" s="438"/>
    </row>
    <row r="17" spans="1:12" s="391" customFormat="1" ht="16.5" customHeight="1">
      <c r="A17" s="393" t="s">
        <v>121</v>
      </c>
      <c r="B17" s="394" t="s">
        <v>113</v>
      </c>
      <c r="C17" s="394" t="s">
        <v>120</v>
      </c>
      <c r="D17" s="437"/>
      <c r="E17" s="394" t="s">
        <v>1008</v>
      </c>
      <c r="F17" s="437"/>
      <c r="G17" s="393" t="s">
        <v>121</v>
      </c>
      <c r="H17" s="394" t="s">
        <v>113</v>
      </c>
      <c r="I17" s="394" t="s">
        <v>120</v>
      </c>
      <c r="J17" s="437"/>
      <c r="K17" s="394" t="s">
        <v>1008</v>
      </c>
      <c r="L17" s="437"/>
    </row>
    <row r="18" spans="1:12" s="391" customFormat="1" ht="16.5" customHeight="1">
      <c r="A18" s="395" t="s">
        <v>1020</v>
      </c>
      <c r="B18" s="396" t="s">
        <v>1007</v>
      </c>
      <c r="C18" s="396" t="s">
        <v>874</v>
      </c>
      <c r="D18" s="438"/>
      <c r="E18" s="397"/>
      <c r="F18" s="438"/>
      <c r="G18" s="395" t="s">
        <v>1020</v>
      </c>
      <c r="H18" s="396" t="s">
        <v>1007</v>
      </c>
      <c r="I18" s="396" t="s">
        <v>874</v>
      </c>
      <c r="J18" s="438"/>
      <c r="K18" s="397"/>
      <c r="L18" s="438"/>
    </row>
    <row r="19" spans="1:12" s="391" customFormat="1" ht="16.5" customHeight="1">
      <c r="A19" s="393" t="s">
        <v>122</v>
      </c>
      <c r="B19" s="394" t="s">
        <v>1009</v>
      </c>
      <c r="C19" s="394" t="s">
        <v>1009</v>
      </c>
      <c r="D19" s="437"/>
      <c r="E19" s="394" t="s">
        <v>1010</v>
      </c>
      <c r="F19" s="437"/>
      <c r="G19" s="393" t="s">
        <v>122</v>
      </c>
      <c r="H19" s="394" t="s">
        <v>1009</v>
      </c>
      <c r="I19" s="394" t="s">
        <v>1009</v>
      </c>
      <c r="J19" s="437"/>
      <c r="K19" s="394" t="s">
        <v>1010</v>
      </c>
      <c r="L19" s="437"/>
    </row>
    <row r="20" spans="1:12" s="391" customFormat="1" ht="16.5" customHeight="1">
      <c r="A20" s="395" t="s">
        <v>1021</v>
      </c>
      <c r="B20" s="397"/>
      <c r="C20" s="397"/>
      <c r="D20" s="438"/>
      <c r="E20" s="397"/>
      <c r="F20" s="438"/>
      <c r="G20" s="395" t="s">
        <v>1021</v>
      </c>
      <c r="H20" s="397"/>
      <c r="I20" s="397"/>
      <c r="J20" s="438"/>
      <c r="K20" s="397"/>
      <c r="L20" s="438"/>
    </row>
    <row r="21" spans="1:12" s="391" customFormat="1" ht="22.5" customHeight="1">
      <c r="A21" s="446" t="s">
        <v>1011</v>
      </c>
      <c r="B21" s="446"/>
      <c r="C21" s="446"/>
      <c r="D21" s="446"/>
      <c r="E21" s="446"/>
      <c r="F21" s="446"/>
      <c r="G21" s="446" t="s">
        <v>1011</v>
      </c>
      <c r="H21" s="446"/>
      <c r="I21" s="446"/>
      <c r="J21" s="446"/>
      <c r="K21" s="446"/>
      <c r="L21" s="446"/>
    </row>
    <row r="22" spans="1:12" s="391" customFormat="1" ht="22.5" customHeight="1">
      <c r="A22" s="442" t="s">
        <v>1012</v>
      </c>
      <c r="B22" s="442"/>
      <c r="C22" s="442"/>
      <c r="D22" s="442"/>
      <c r="E22" s="442"/>
      <c r="F22" s="442"/>
      <c r="G22" s="442" t="s">
        <v>1012</v>
      </c>
      <c r="H22" s="442"/>
      <c r="I22" s="442"/>
      <c r="J22" s="442"/>
      <c r="K22" s="442"/>
      <c r="L22" s="442"/>
    </row>
    <row r="23" spans="1:12" s="391" customFormat="1" ht="26.25" customHeight="1">
      <c r="A23" s="392" t="s">
        <v>1013</v>
      </c>
      <c r="B23" s="392" t="s">
        <v>103</v>
      </c>
      <c r="C23" s="392" t="s">
        <v>104</v>
      </c>
      <c r="D23" s="392" t="s">
        <v>105</v>
      </c>
      <c r="E23" s="392" t="s">
        <v>106</v>
      </c>
      <c r="F23" s="392" t="s">
        <v>107</v>
      </c>
      <c r="G23" s="392" t="s">
        <v>1013</v>
      </c>
      <c r="H23" s="392" t="s">
        <v>103</v>
      </c>
      <c r="I23" s="392" t="s">
        <v>104</v>
      </c>
      <c r="J23" s="392" t="s">
        <v>105</v>
      </c>
      <c r="K23" s="392" t="s">
        <v>106</v>
      </c>
      <c r="L23" s="392" t="s">
        <v>107</v>
      </c>
    </row>
    <row r="24" spans="1:12" s="391" customFormat="1" ht="16.5" customHeight="1">
      <c r="A24" s="443" t="s">
        <v>1023</v>
      </c>
      <c r="B24" s="444"/>
      <c r="C24" s="444"/>
      <c r="D24" s="444"/>
      <c r="E24" s="444"/>
      <c r="F24" s="445"/>
      <c r="G24" s="443" t="s">
        <v>1023</v>
      </c>
      <c r="H24" s="444"/>
      <c r="I24" s="444"/>
      <c r="J24" s="444"/>
      <c r="K24" s="444"/>
      <c r="L24" s="445"/>
    </row>
    <row r="25" spans="1:12" s="391" customFormat="1" ht="16.5" customHeight="1">
      <c r="A25" s="393" t="s">
        <v>108</v>
      </c>
      <c r="B25" s="394" t="s">
        <v>110</v>
      </c>
      <c r="C25" s="394" t="s">
        <v>999</v>
      </c>
      <c r="D25" s="394" t="s">
        <v>999</v>
      </c>
      <c r="E25" s="394" t="s">
        <v>112</v>
      </c>
      <c r="F25" s="394" t="s">
        <v>243</v>
      </c>
      <c r="G25" s="393" t="s">
        <v>108</v>
      </c>
      <c r="H25" s="394" t="s">
        <v>110</v>
      </c>
      <c r="I25" s="394" t="s">
        <v>999</v>
      </c>
      <c r="J25" s="394" t="s">
        <v>999</v>
      </c>
      <c r="K25" s="394" t="s">
        <v>112</v>
      </c>
      <c r="L25" s="394" t="s">
        <v>243</v>
      </c>
    </row>
    <row r="26" spans="1:12" s="391" customFormat="1" ht="16.5" customHeight="1">
      <c r="A26" s="395" t="s">
        <v>1014</v>
      </c>
      <c r="B26" s="396" t="s">
        <v>998</v>
      </c>
      <c r="C26" s="397"/>
      <c r="D26" s="397"/>
      <c r="E26" s="396" t="s">
        <v>1000</v>
      </c>
      <c r="F26" s="397"/>
      <c r="G26" s="395" t="s">
        <v>1014</v>
      </c>
      <c r="H26" s="396" t="s">
        <v>998</v>
      </c>
      <c r="I26" s="397"/>
      <c r="J26" s="397"/>
      <c r="K26" s="396" t="s">
        <v>1000</v>
      </c>
      <c r="L26" s="397"/>
    </row>
    <row r="27" spans="1:12" s="391" customFormat="1" ht="16.5" customHeight="1">
      <c r="A27" s="393" t="s">
        <v>111</v>
      </c>
      <c r="B27" s="394" t="s">
        <v>110</v>
      </c>
      <c r="C27" s="394" t="s">
        <v>112</v>
      </c>
      <c r="D27" s="394" t="s">
        <v>999</v>
      </c>
      <c r="E27" s="394" t="s">
        <v>115</v>
      </c>
      <c r="F27" s="394" t="s">
        <v>110</v>
      </c>
      <c r="G27" s="393" t="s">
        <v>111</v>
      </c>
      <c r="H27" s="394" t="s">
        <v>110</v>
      </c>
      <c r="I27" s="394" t="s">
        <v>112</v>
      </c>
      <c r="J27" s="394" t="s">
        <v>999</v>
      </c>
      <c r="K27" s="394" t="s">
        <v>115</v>
      </c>
      <c r="L27" s="394" t="s">
        <v>110</v>
      </c>
    </row>
    <row r="28" spans="1:12" s="391" customFormat="1" ht="16.5" customHeight="1">
      <c r="A28" s="395" t="s">
        <v>1015</v>
      </c>
      <c r="B28" s="396" t="s">
        <v>998</v>
      </c>
      <c r="C28" s="396" t="s">
        <v>1000</v>
      </c>
      <c r="D28" s="397"/>
      <c r="E28" s="396" t="s">
        <v>1001</v>
      </c>
      <c r="F28" s="396" t="s">
        <v>998</v>
      </c>
      <c r="G28" s="395" t="s">
        <v>1015</v>
      </c>
      <c r="H28" s="396" t="s">
        <v>998</v>
      </c>
      <c r="I28" s="396" t="s">
        <v>1000</v>
      </c>
      <c r="J28" s="397"/>
      <c r="K28" s="396" t="s">
        <v>1001</v>
      </c>
      <c r="L28" s="396" t="s">
        <v>998</v>
      </c>
    </row>
    <row r="29" spans="1:12" s="391" customFormat="1" ht="16.5" customHeight="1">
      <c r="A29" s="393" t="s">
        <v>114</v>
      </c>
      <c r="B29" s="394" t="s">
        <v>243</v>
      </c>
      <c r="C29" s="394" t="s">
        <v>109</v>
      </c>
      <c r="D29" s="394" t="s">
        <v>115</v>
      </c>
      <c r="E29" s="394" t="s">
        <v>109</v>
      </c>
      <c r="F29" s="394" t="s">
        <v>109</v>
      </c>
      <c r="G29" s="393" t="s">
        <v>114</v>
      </c>
      <c r="H29" s="394" t="s">
        <v>243</v>
      </c>
      <c r="I29" s="394" t="s">
        <v>109</v>
      </c>
      <c r="J29" s="394" t="s">
        <v>115</v>
      </c>
      <c r="K29" s="394" t="s">
        <v>109</v>
      </c>
      <c r="L29" s="394" t="s">
        <v>109</v>
      </c>
    </row>
    <row r="30" spans="1:12" s="391" customFormat="1" ht="16.5" customHeight="1">
      <c r="A30" s="395" t="s">
        <v>1016</v>
      </c>
      <c r="B30" s="397"/>
      <c r="C30" s="397"/>
      <c r="D30" s="396" t="s">
        <v>1001</v>
      </c>
      <c r="E30" s="397"/>
      <c r="F30" s="397"/>
      <c r="G30" s="395" t="s">
        <v>1016</v>
      </c>
      <c r="H30" s="397"/>
      <c r="I30" s="397"/>
      <c r="J30" s="396" t="s">
        <v>1001</v>
      </c>
      <c r="K30" s="397"/>
      <c r="L30" s="397"/>
    </row>
    <row r="31" spans="1:12" s="391" customFormat="1" ht="16.5" customHeight="1">
      <c r="A31" s="393" t="s">
        <v>116</v>
      </c>
      <c r="B31" s="394" t="s">
        <v>1002</v>
      </c>
      <c r="C31" s="394" t="s">
        <v>243</v>
      </c>
      <c r="D31" s="394" t="s">
        <v>115</v>
      </c>
      <c r="E31" s="394" t="s">
        <v>243</v>
      </c>
      <c r="F31" s="394" t="s">
        <v>1003</v>
      </c>
      <c r="G31" s="393" t="s">
        <v>116</v>
      </c>
      <c r="H31" s="394" t="s">
        <v>1002</v>
      </c>
      <c r="I31" s="394" t="s">
        <v>243</v>
      </c>
      <c r="J31" s="394" t="s">
        <v>115</v>
      </c>
      <c r="K31" s="394" t="s">
        <v>243</v>
      </c>
      <c r="L31" s="394" t="s">
        <v>1003</v>
      </c>
    </row>
    <row r="32" spans="1:12" s="391" customFormat="1" ht="16.5" customHeight="1">
      <c r="A32" s="395" t="s">
        <v>1017</v>
      </c>
      <c r="B32" s="397"/>
      <c r="C32" s="397"/>
      <c r="D32" s="396" t="s">
        <v>1001</v>
      </c>
      <c r="E32" s="397"/>
      <c r="F32" s="396" t="s">
        <v>1000</v>
      </c>
      <c r="G32" s="395" t="s">
        <v>1017</v>
      </c>
      <c r="H32" s="397"/>
      <c r="I32" s="397"/>
      <c r="J32" s="396" t="s">
        <v>1001</v>
      </c>
      <c r="K32" s="397"/>
      <c r="L32" s="396" t="s">
        <v>1000</v>
      </c>
    </row>
    <row r="33" spans="1:12" s="391" customFormat="1" ht="16.5" customHeight="1">
      <c r="A33" s="443" t="s">
        <v>118</v>
      </c>
      <c r="B33" s="444"/>
      <c r="C33" s="444"/>
      <c r="D33" s="444"/>
      <c r="E33" s="444"/>
      <c r="F33" s="445"/>
      <c r="G33" s="443" t="s">
        <v>118</v>
      </c>
      <c r="H33" s="444"/>
      <c r="I33" s="444"/>
      <c r="J33" s="444"/>
      <c r="K33" s="444"/>
      <c r="L33" s="445"/>
    </row>
    <row r="34" spans="1:12" s="391" customFormat="1" ht="16.5" customHeight="1">
      <c r="A34" s="439" t="s">
        <v>1018</v>
      </c>
      <c r="B34" s="440"/>
      <c r="C34" s="440"/>
      <c r="D34" s="440"/>
      <c r="E34" s="440"/>
      <c r="F34" s="441"/>
      <c r="G34" s="439" t="s">
        <v>1018</v>
      </c>
      <c r="H34" s="440"/>
      <c r="I34" s="440"/>
      <c r="J34" s="440"/>
      <c r="K34" s="440"/>
      <c r="L34" s="441"/>
    </row>
    <row r="35" spans="1:12" s="391" customFormat="1" ht="16.5" customHeight="1">
      <c r="A35" s="393" t="s">
        <v>119</v>
      </c>
      <c r="B35" s="394" t="s">
        <v>1004</v>
      </c>
      <c r="C35" s="398" t="s">
        <v>1022</v>
      </c>
      <c r="D35" s="437"/>
      <c r="E35" s="394" t="s">
        <v>1006</v>
      </c>
      <c r="F35" s="437"/>
      <c r="G35" s="393" t="s">
        <v>119</v>
      </c>
      <c r="H35" s="394" t="s">
        <v>1004</v>
      </c>
      <c r="I35" s="398" t="s">
        <v>1022</v>
      </c>
      <c r="J35" s="437"/>
      <c r="K35" s="394" t="s">
        <v>1006</v>
      </c>
      <c r="L35" s="437"/>
    </row>
    <row r="36" spans="1:12" s="391" customFormat="1" ht="16.5" customHeight="1">
      <c r="A36" s="395" t="s">
        <v>1019</v>
      </c>
      <c r="B36" s="396" t="s">
        <v>1005</v>
      </c>
      <c r="C36" s="396" t="s">
        <v>117</v>
      </c>
      <c r="D36" s="438"/>
      <c r="E36" s="397"/>
      <c r="F36" s="438"/>
      <c r="G36" s="395" t="s">
        <v>1019</v>
      </c>
      <c r="H36" s="396" t="s">
        <v>1005</v>
      </c>
      <c r="I36" s="396" t="s">
        <v>117</v>
      </c>
      <c r="J36" s="438"/>
      <c r="K36" s="397"/>
      <c r="L36" s="438"/>
    </row>
    <row r="37" spans="1:12" s="391" customFormat="1" ht="16.5" customHeight="1">
      <c r="A37" s="393" t="s">
        <v>121</v>
      </c>
      <c r="B37" s="394" t="s">
        <v>113</v>
      </c>
      <c r="C37" s="394" t="s">
        <v>120</v>
      </c>
      <c r="D37" s="437"/>
      <c r="E37" s="394" t="s">
        <v>1008</v>
      </c>
      <c r="F37" s="437"/>
      <c r="G37" s="393" t="s">
        <v>121</v>
      </c>
      <c r="H37" s="394" t="s">
        <v>113</v>
      </c>
      <c r="I37" s="394" t="s">
        <v>120</v>
      </c>
      <c r="J37" s="437"/>
      <c r="K37" s="394" t="s">
        <v>1008</v>
      </c>
      <c r="L37" s="437"/>
    </row>
    <row r="38" spans="1:12" s="391" customFormat="1" ht="16.5" customHeight="1">
      <c r="A38" s="395" t="s">
        <v>1020</v>
      </c>
      <c r="B38" s="396" t="s">
        <v>1007</v>
      </c>
      <c r="C38" s="396" t="s">
        <v>874</v>
      </c>
      <c r="D38" s="438"/>
      <c r="E38" s="397"/>
      <c r="F38" s="438"/>
      <c r="G38" s="395" t="s">
        <v>1020</v>
      </c>
      <c r="H38" s="396" t="s">
        <v>1007</v>
      </c>
      <c r="I38" s="396" t="s">
        <v>874</v>
      </c>
      <c r="J38" s="438"/>
      <c r="K38" s="397"/>
      <c r="L38" s="438"/>
    </row>
    <row r="39" spans="1:12" s="391" customFormat="1" ht="16.5" customHeight="1">
      <c r="A39" s="393" t="s">
        <v>122</v>
      </c>
      <c r="B39" s="394" t="s">
        <v>1009</v>
      </c>
      <c r="C39" s="394" t="s">
        <v>1009</v>
      </c>
      <c r="D39" s="437"/>
      <c r="E39" s="394" t="s">
        <v>1010</v>
      </c>
      <c r="F39" s="437"/>
      <c r="G39" s="393" t="s">
        <v>122</v>
      </c>
      <c r="H39" s="394" t="s">
        <v>1009</v>
      </c>
      <c r="I39" s="394" t="s">
        <v>1009</v>
      </c>
      <c r="J39" s="437"/>
      <c r="K39" s="394" t="s">
        <v>1010</v>
      </c>
      <c r="L39" s="437"/>
    </row>
    <row r="40" spans="1:12" s="391" customFormat="1" ht="16.5" customHeight="1">
      <c r="A40" s="395" t="s">
        <v>1021</v>
      </c>
      <c r="B40" s="397"/>
      <c r="C40" s="397"/>
      <c r="D40" s="438"/>
      <c r="E40" s="397"/>
      <c r="F40" s="438"/>
      <c r="G40" s="395" t="s">
        <v>1021</v>
      </c>
      <c r="H40" s="397"/>
      <c r="I40" s="397"/>
      <c r="J40" s="438"/>
      <c r="K40" s="397"/>
      <c r="L40" s="438"/>
    </row>
    <row r="41" spans="1:12" s="391" customFormat="1" ht="22.5" customHeight="1">
      <c r="A41" s="446" t="s">
        <v>1011</v>
      </c>
      <c r="B41" s="446"/>
      <c r="C41" s="446"/>
      <c r="D41" s="446"/>
      <c r="E41" s="446"/>
      <c r="F41" s="446"/>
      <c r="G41" s="446" t="s">
        <v>1011</v>
      </c>
      <c r="H41" s="446"/>
      <c r="I41" s="446"/>
      <c r="J41" s="446"/>
      <c r="K41" s="446"/>
      <c r="L41" s="446"/>
    </row>
    <row r="42" spans="1:12" s="391" customFormat="1" ht="22.5" customHeight="1">
      <c r="A42" s="442" t="s">
        <v>1012</v>
      </c>
      <c r="B42" s="442"/>
      <c r="C42" s="442"/>
      <c r="D42" s="442"/>
      <c r="E42" s="442"/>
      <c r="F42" s="442"/>
      <c r="G42" s="442" t="s">
        <v>1012</v>
      </c>
      <c r="H42" s="442"/>
      <c r="I42" s="442"/>
      <c r="J42" s="442"/>
      <c r="K42" s="442"/>
      <c r="L42" s="442"/>
    </row>
    <row r="43" spans="1:12" s="391" customFormat="1" ht="26.25" customHeight="1">
      <c r="A43" s="392" t="s">
        <v>1013</v>
      </c>
      <c r="B43" s="392" t="s">
        <v>103</v>
      </c>
      <c r="C43" s="392" t="s">
        <v>104</v>
      </c>
      <c r="D43" s="392" t="s">
        <v>105</v>
      </c>
      <c r="E43" s="392" t="s">
        <v>106</v>
      </c>
      <c r="F43" s="392" t="s">
        <v>107</v>
      </c>
      <c r="G43" s="392" t="s">
        <v>1013</v>
      </c>
      <c r="H43" s="392" t="s">
        <v>103</v>
      </c>
      <c r="I43" s="392" t="s">
        <v>104</v>
      </c>
      <c r="J43" s="392" t="s">
        <v>105</v>
      </c>
      <c r="K43" s="392" t="s">
        <v>106</v>
      </c>
      <c r="L43" s="392" t="s">
        <v>107</v>
      </c>
    </row>
    <row r="44" spans="1:12" s="391" customFormat="1" ht="16.5" customHeight="1">
      <c r="A44" s="443" t="s">
        <v>1023</v>
      </c>
      <c r="B44" s="444"/>
      <c r="C44" s="444"/>
      <c r="D44" s="444"/>
      <c r="E44" s="444"/>
      <c r="F44" s="445"/>
      <c r="G44" s="443" t="s">
        <v>1023</v>
      </c>
      <c r="H44" s="444"/>
      <c r="I44" s="444"/>
      <c r="J44" s="444"/>
      <c r="K44" s="444"/>
      <c r="L44" s="445"/>
    </row>
    <row r="45" spans="1:12" s="391" customFormat="1" ht="16.5" customHeight="1">
      <c r="A45" s="393" t="s">
        <v>108</v>
      </c>
      <c r="B45" s="394" t="s">
        <v>110</v>
      </c>
      <c r="C45" s="394" t="s">
        <v>999</v>
      </c>
      <c r="D45" s="394" t="s">
        <v>999</v>
      </c>
      <c r="E45" s="394" t="s">
        <v>112</v>
      </c>
      <c r="F45" s="394" t="s">
        <v>243</v>
      </c>
      <c r="G45" s="393" t="s">
        <v>108</v>
      </c>
      <c r="H45" s="394" t="s">
        <v>110</v>
      </c>
      <c r="I45" s="394" t="s">
        <v>999</v>
      </c>
      <c r="J45" s="394" t="s">
        <v>999</v>
      </c>
      <c r="K45" s="394" t="s">
        <v>112</v>
      </c>
      <c r="L45" s="394" t="s">
        <v>243</v>
      </c>
    </row>
    <row r="46" spans="1:12" s="391" customFormat="1" ht="16.5" customHeight="1">
      <c r="A46" s="395" t="s">
        <v>1014</v>
      </c>
      <c r="B46" s="396" t="s">
        <v>998</v>
      </c>
      <c r="C46" s="397"/>
      <c r="D46" s="397"/>
      <c r="E46" s="396" t="s">
        <v>1000</v>
      </c>
      <c r="F46" s="397"/>
      <c r="G46" s="395" t="s">
        <v>1014</v>
      </c>
      <c r="H46" s="396" t="s">
        <v>998</v>
      </c>
      <c r="I46" s="397"/>
      <c r="J46" s="397"/>
      <c r="K46" s="396" t="s">
        <v>1000</v>
      </c>
      <c r="L46" s="397"/>
    </row>
    <row r="47" spans="1:12" s="391" customFormat="1" ht="16.5" customHeight="1">
      <c r="A47" s="393" t="s">
        <v>111</v>
      </c>
      <c r="B47" s="394" t="s">
        <v>110</v>
      </c>
      <c r="C47" s="394" t="s">
        <v>112</v>
      </c>
      <c r="D47" s="394" t="s">
        <v>999</v>
      </c>
      <c r="E47" s="394" t="s">
        <v>115</v>
      </c>
      <c r="F47" s="394" t="s">
        <v>110</v>
      </c>
      <c r="G47" s="393" t="s">
        <v>111</v>
      </c>
      <c r="H47" s="394" t="s">
        <v>110</v>
      </c>
      <c r="I47" s="394" t="s">
        <v>112</v>
      </c>
      <c r="J47" s="394" t="s">
        <v>999</v>
      </c>
      <c r="K47" s="394" t="s">
        <v>115</v>
      </c>
      <c r="L47" s="394" t="s">
        <v>110</v>
      </c>
    </row>
    <row r="48" spans="1:12" s="391" customFormat="1" ht="16.5" customHeight="1">
      <c r="A48" s="395" t="s">
        <v>1015</v>
      </c>
      <c r="B48" s="396" t="s">
        <v>998</v>
      </c>
      <c r="C48" s="396" t="s">
        <v>1000</v>
      </c>
      <c r="D48" s="397"/>
      <c r="E48" s="396" t="s">
        <v>1001</v>
      </c>
      <c r="F48" s="396" t="s">
        <v>998</v>
      </c>
      <c r="G48" s="395" t="s">
        <v>1015</v>
      </c>
      <c r="H48" s="396" t="s">
        <v>998</v>
      </c>
      <c r="I48" s="396" t="s">
        <v>1000</v>
      </c>
      <c r="J48" s="397"/>
      <c r="K48" s="396" t="s">
        <v>1001</v>
      </c>
      <c r="L48" s="396" t="s">
        <v>998</v>
      </c>
    </row>
    <row r="49" spans="1:12" s="391" customFormat="1" ht="16.5" customHeight="1">
      <c r="A49" s="393" t="s">
        <v>114</v>
      </c>
      <c r="B49" s="394" t="s">
        <v>243</v>
      </c>
      <c r="C49" s="394" t="s">
        <v>109</v>
      </c>
      <c r="D49" s="394" t="s">
        <v>115</v>
      </c>
      <c r="E49" s="394" t="s">
        <v>109</v>
      </c>
      <c r="F49" s="394" t="s">
        <v>109</v>
      </c>
      <c r="G49" s="393" t="s">
        <v>114</v>
      </c>
      <c r="H49" s="394" t="s">
        <v>243</v>
      </c>
      <c r="I49" s="394" t="s">
        <v>109</v>
      </c>
      <c r="J49" s="394" t="s">
        <v>115</v>
      </c>
      <c r="K49" s="394" t="s">
        <v>109</v>
      </c>
      <c r="L49" s="394" t="s">
        <v>109</v>
      </c>
    </row>
    <row r="50" spans="1:12" s="391" customFormat="1" ht="16.5" customHeight="1">
      <c r="A50" s="395" t="s">
        <v>1016</v>
      </c>
      <c r="B50" s="397"/>
      <c r="C50" s="397"/>
      <c r="D50" s="396" t="s">
        <v>1001</v>
      </c>
      <c r="E50" s="397"/>
      <c r="F50" s="397"/>
      <c r="G50" s="395" t="s">
        <v>1016</v>
      </c>
      <c r="H50" s="397"/>
      <c r="I50" s="397"/>
      <c r="J50" s="396" t="s">
        <v>1001</v>
      </c>
      <c r="K50" s="397"/>
      <c r="L50" s="397"/>
    </row>
    <row r="51" spans="1:12" s="391" customFormat="1" ht="16.5" customHeight="1">
      <c r="A51" s="393" t="s">
        <v>116</v>
      </c>
      <c r="B51" s="394" t="s">
        <v>1002</v>
      </c>
      <c r="C51" s="394" t="s">
        <v>243</v>
      </c>
      <c r="D51" s="394" t="s">
        <v>115</v>
      </c>
      <c r="E51" s="394" t="s">
        <v>243</v>
      </c>
      <c r="F51" s="394" t="s">
        <v>1003</v>
      </c>
      <c r="G51" s="393" t="s">
        <v>116</v>
      </c>
      <c r="H51" s="394" t="s">
        <v>1002</v>
      </c>
      <c r="I51" s="394" t="s">
        <v>243</v>
      </c>
      <c r="J51" s="394" t="s">
        <v>115</v>
      </c>
      <c r="K51" s="394" t="s">
        <v>243</v>
      </c>
      <c r="L51" s="394" t="s">
        <v>1003</v>
      </c>
    </row>
    <row r="52" spans="1:12" s="391" customFormat="1" ht="16.5" customHeight="1">
      <c r="A52" s="395" t="s">
        <v>1017</v>
      </c>
      <c r="B52" s="397"/>
      <c r="C52" s="397"/>
      <c r="D52" s="396" t="s">
        <v>1001</v>
      </c>
      <c r="E52" s="397"/>
      <c r="F52" s="396" t="s">
        <v>1000</v>
      </c>
      <c r="G52" s="395" t="s">
        <v>1017</v>
      </c>
      <c r="H52" s="397"/>
      <c r="I52" s="397"/>
      <c r="J52" s="396" t="s">
        <v>1001</v>
      </c>
      <c r="K52" s="397"/>
      <c r="L52" s="396" t="s">
        <v>1000</v>
      </c>
    </row>
    <row r="53" spans="1:12" s="391" customFormat="1" ht="16.5" customHeight="1">
      <c r="A53" s="443" t="s">
        <v>118</v>
      </c>
      <c r="B53" s="444"/>
      <c r="C53" s="444"/>
      <c r="D53" s="444"/>
      <c r="E53" s="444"/>
      <c r="F53" s="445"/>
      <c r="G53" s="443" t="s">
        <v>118</v>
      </c>
      <c r="H53" s="444"/>
      <c r="I53" s="444"/>
      <c r="J53" s="444"/>
      <c r="K53" s="444"/>
      <c r="L53" s="445"/>
    </row>
    <row r="54" spans="1:12" s="391" customFormat="1" ht="16.5" customHeight="1">
      <c r="A54" s="439" t="s">
        <v>1018</v>
      </c>
      <c r="B54" s="440"/>
      <c r="C54" s="440"/>
      <c r="D54" s="440"/>
      <c r="E54" s="440"/>
      <c r="F54" s="441"/>
      <c r="G54" s="439" t="s">
        <v>1018</v>
      </c>
      <c r="H54" s="440"/>
      <c r="I54" s="440"/>
      <c r="J54" s="440"/>
      <c r="K54" s="440"/>
      <c r="L54" s="441"/>
    </row>
    <row r="55" spans="1:12" s="391" customFormat="1" ht="16.5" customHeight="1">
      <c r="A55" s="393" t="s">
        <v>119</v>
      </c>
      <c r="B55" s="394" t="s">
        <v>1004</v>
      </c>
      <c r="C55" s="398" t="s">
        <v>1022</v>
      </c>
      <c r="D55" s="437"/>
      <c r="E55" s="394" t="s">
        <v>1006</v>
      </c>
      <c r="F55" s="437"/>
      <c r="G55" s="393" t="s">
        <v>119</v>
      </c>
      <c r="H55" s="394" t="s">
        <v>1004</v>
      </c>
      <c r="I55" s="398" t="s">
        <v>1022</v>
      </c>
      <c r="J55" s="437"/>
      <c r="K55" s="394" t="s">
        <v>1006</v>
      </c>
      <c r="L55" s="437"/>
    </row>
    <row r="56" spans="1:12" s="391" customFormat="1" ht="16.5" customHeight="1">
      <c r="A56" s="395" t="s">
        <v>1019</v>
      </c>
      <c r="B56" s="396" t="s">
        <v>1005</v>
      </c>
      <c r="C56" s="396" t="s">
        <v>117</v>
      </c>
      <c r="D56" s="438"/>
      <c r="E56" s="397"/>
      <c r="F56" s="438"/>
      <c r="G56" s="395" t="s">
        <v>1019</v>
      </c>
      <c r="H56" s="396" t="s">
        <v>1005</v>
      </c>
      <c r="I56" s="396" t="s">
        <v>117</v>
      </c>
      <c r="J56" s="438"/>
      <c r="K56" s="397"/>
      <c r="L56" s="438"/>
    </row>
    <row r="57" spans="1:12" s="391" customFormat="1" ht="16.5" customHeight="1">
      <c r="A57" s="393" t="s">
        <v>121</v>
      </c>
      <c r="B57" s="394" t="s">
        <v>113</v>
      </c>
      <c r="C57" s="394" t="s">
        <v>120</v>
      </c>
      <c r="D57" s="437"/>
      <c r="E57" s="394" t="s">
        <v>1008</v>
      </c>
      <c r="F57" s="437"/>
      <c r="G57" s="393" t="s">
        <v>121</v>
      </c>
      <c r="H57" s="394" t="s">
        <v>113</v>
      </c>
      <c r="I57" s="394" t="s">
        <v>120</v>
      </c>
      <c r="J57" s="437"/>
      <c r="K57" s="394" t="s">
        <v>1008</v>
      </c>
      <c r="L57" s="437"/>
    </row>
    <row r="58" spans="1:12" s="391" customFormat="1" ht="16.5" customHeight="1">
      <c r="A58" s="395" t="s">
        <v>1020</v>
      </c>
      <c r="B58" s="396" t="s">
        <v>1007</v>
      </c>
      <c r="C58" s="396" t="s">
        <v>874</v>
      </c>
      <c r="D58" s="438"/>
      <c r="E58" s="397"/>
      <c r="F58" s="438"/>
      <c r="G58" s="395" t="s">
        <v>1020</v>
      </c>
      <c r="H58" s="396" t="s">
        <v>1007</v>
      </c>
      <c r="I58" s="396" t="s">
        <v>874</v>
      </c>
      <c r="J58" s="438"/>
      <c r="K58" s="397"/>
      <c r="L58" s="438"/>
    </row>
    <row r="59" spans="1:12" s="391" customFormat="1" ht="16.5" customHeight="1">
      <c r="A59" s="393" t="s">
        <v>122</v>
      </c>
      <c r="B59" s="394" t="s">
        <v>1009</v>
      </c>
      <c r="C59" s="394" t="s">
        <v>1009</v>
      </c>
      <c r="D59" s="437"/>
      <c r="E59" s="394" t="s">
        <v>1010</v>
      </c>
      <c r="F59" s="437"/>
      <c r="G59" s="393" t="s">
        <v>122</v>
      </c>
      <c r="H59" s="394" t="s">
        <v>1009</v>
      </c>
      <c r="I59" s="394" t="s">
        <v>1009</v>
      </c>
      <c r="J59" s="437"/>
      <c r="K59" s="394" t="s">
        <v>1010</v>
      </c>
      <c r="L59" s="437"/>
    </row>
    <row r="60" spans="1:12" s="391" customFormat="1" ht="16.5" customHeight="1">
      <c r="A60" s="395" t="s">
        <v>1021</v>
      </c>
      <c r="B60" s="397"/>
      <c r="C60" s="397"/>
      <c r="D60" s="438"/>
      <c r="E60" s="397"/>
      <c r="F60" s="438"/>
      <c r="G60" s="395" t="s">
        <v>1021</v>
      </c>
      <c r="H60" s="397"/>
      <c r="I60" s="397"/>
      <c r="J60" s="438"/>
      <c r="K60" s="397"/>
      <c r="L60" s="438"/>
    </row>
  </sheetData>
  <mergeCells count="66">
    <mergeCell ref="A1:F1"/>
    <mergeCell ref="A2:F2"/>
    <mergeCell ref="A4:F4"/>
    <mergeCell ref="A13:F13"/>
    <mergeCell ref="A14:F14"/>
    <mergeCell ref="D15:D16"/>
    <mergeCell ref="F15:F16"/>
    <mergeCell ref="D17:D18"/>
    <mergeCell ref="F17:F18"/>
    <mergeCell ref="D19:D20"/>
    <mergeCell ref="F19:F20"/>
    <mergeCell ref="A21:F21"/>
    <mergeCell ref="A22:F22"/>
    <mergeCell ref="A24:F24"/>
    <mergeCell ref="A33:F33"/>
    <mergeCell ref="A34:F34"/>
    <mergeCell ref="D35:D36"/>
    <mergeCell ref="F35:F36"/>
    <mergeCell ref="G1:L1"/>
    <mergeCell ref="G2:L2"/>
    <mergeCell ref="G4:L4"/>
    <mergeCell ref="G13:L13"/>
    <mergeCell ref="G14:L14"/>
    <mergeCell ref="J15:J16"/>
    <mergeCell ref="L15:L16"/>
    <mergeCell ref="J17:J18"/>
    <mergeCell ref="L17:L18"/>
    <mergeCell ref="J19:J20"/>
    <mergeCell ref="L19:L20"/>
    <mergeCell ref="G21:L21"/>
    <mergeCell ref="G22:L22"/>
    <mergeCell ref="G24:L24"/>
    <mergeCell ref="G33:L33"/>
    <mergeCell ref="G34:L34"/>
    <mergeCell ref="J35:J36"/>
    <mergeCell ref="L35:L36"/>
    <mergeCell ref="J37:J38"/>
    <mergeCell ref="L37:L38"/>
    <mergeCell ref="J39:J40"/>
    <mergeCell ref="L39:L40"/>
    <mergeCell ref="A41:F41"/>
    <mergeCell ref="G41:L41"/>
    <mergeCell ref="D37:D38"/>
    <mergeCell ref="F37:F38"/>
    <mergeCell ref="D39:D40"/>
    <mergeCell ref="F39:F40"/>
    <mergeCell ref="A42:F42"/>
    <mergeCell ref="G42:L42"/>
    <mergeCell ref="A44:F44"/>
    <mergeCell ref="G44:L44"/>
    <mergeCell ref="A53:F53"/>
    <mergeCell ref="G53:L53"/>
    <mergeCell ref="A54:F54"/>
    <mergeCell ref="G54:L54"/>
    <mergeCell ref="D55:D56"/>
    <mergeCell ref="F55:F56"/>
    <mergeCell ref="J55:J56"/>
    <mergeCell ref="L55:L56"/>
    <mergeCell ref="D57:D58"/>
    <mergeCell ref="F57:F58"/>
    <mergeCell ref="J57:J58"/>
    <mergeCell ref="L57:L58"/>
    <mergeCell ref="D59:D60"/>
    <mergeCell ref="F59:F60"/>
    <mergeCell ref="J59:J60"/>
    <mergeCell ref="L59:L60"/>
  </mergeCells>
  <phoneticPr fontId="2" type="noConversion"/>
  <pageMargins left="0.75" right="0.75" top="1" bottom="1" header="0.5" footer="0.5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Z30"/>
  <sheetViews>
    <sheetView workbookViewId="0">
      <selection activeCell="AN2" sqref="AN2:AS28"/>
    </sheetView>
  </sheetViews>
  <sheetFormatPr defaultRowHeight="16.5"/>
  <cols>
    <col min="1" max="1" width="5" customWidth="1"/>
    <col min="2" max="2" width="7.625" customWidth="1"/>
    <col min="3" max="6" width="4.75" hidden="1" customWidth="1"/>
    <col min="7" max="8" width="5.875" hidden="1" customWidth="1"/>
    <col min="9" max="10" width="4.75" hidden="1" customWidth="1"/>
    <col min="11" max="12" width="4.75" style="78" hidden="1" customWidth="1"/>
    <col min="13" max="15" width="4.75" hidden="1" customWidth="1"/>
    <col min="16" max="19" width="4.75" style="78" hidden="1" customWidth="1"/>
    <col min="20" max="20" width="4.75" hidden="1" customWidth="1"/>
    <col min="21" max="22" width="4.75" style="145" hidden="1" customWidth="1"/>
    <col min="23" max="30" width="4.75" hidden="1" customWidth="1"/>
    <col min="31" max="33" width="4.75" style="78" hidden="1" customWidth="1"/>
    <col min="34" max="34" width="7" style="145" hidden="1" customWidth="1"/>
    <col min="35" max="35" width="6.625" hidden="1" customWidth="1"/>
    <col min="36" max="36" width="4.75" style="78" customWidth="1"/>
    <col min="37" max="44" width="9" style="145"/>
  </cols>
  <sheetData>
    <row r="1" spans="1:52">
      <c r="A1" s="512">
        <v>307</v>
      </c>
      <c r="B1" s="512"/>
      <c r="C1" s="261">
        <v>43710</v>
      </c>
      <c r="D1" s="261"/>
      <c r="E1" s="261"/>
      <c r="F1" s="261"/>
      <c r="G1" s="513">
        <v>43712</v>
      </c>
      <c r="H1" s="513"/>
      <c r="I1" s="513">
        <v>43366</v>
      </c>
      <c r="J1" s="513"/>
      <c r="K1" s="513">
        <v>43745</v>
      </c>
      <c r="L1" s="513"/>
      <c r="M1" s="513">
        <v>43766</v>
      </c>
      <c r="N1" s="513"/>
      <c r="O1" s="218"/>
      <c r="P1" s="218"/>
      <c r="Q1" s="218"/>
      <c r="R1" s="218"/>
      <c r="S1" s="218"/>
      <c r="T1" s="218"/>
      <c r="U1" s="262">
        <v>43780</v>
      </c>
      <c r="V1" s="218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18"/>
      <c r="AI1" s="263"/>
      <c r="AJ1" s="263" t="s">
        <v>922</v>
      </c>
      <c r="AK1" s="264">
        <v>44075</v>
      </c>
      <c r="AL1" s="218"/>
      <c r="AM1" s="279"/>
      <c r="AN1" s="279"/>
      <c r="AO1" s="279"/>
      <c r="AP1" s="279"/>
      <c r="AQ1" s="279"/>
      <c r="AR1" s="279"/>
      <c r="AS1" s="316" t="s">
        <v>997</v>
      </c>
      <c r="AT1" s="315"/>
      <c r="AU1" s="315"/>
      <c r="AV1" s="315"/>
      <c r="AW1" s="315"/>
      <c r="AX1" s="315"/>
      <c r="AY1" s="315"/>
      <c r="AZ1" s="315"/>
    </row>
    <row r="2" spans="1:52">
      <c r="A2" s="217" t="s">
        <v>102</v>
      </c>
      <c r="B2" s="212" t="s">
        <v>0</v>
      </c>
      <c r="C2" s="265" t="s">
        <v>198</v>
      </c>
      <c r="D2" s="265" t="s">
        <v>199</v>
      </c>
      <c r="E2" s="212" t="s">
        <v>200</v>
      </c>
      <c r="F2" s="265" t="s">
        <v>457</v>
      </c>
      <c r="G2" s="265" t="s">
        <v>458</v>
      </c>
      <c r="H2" s="265" t="s">
        <v>459</v>
      </c>
      <c r="I2" s="265" t="s">
        <v>461</v>
      </c>
      <c r="J2" s="265" t="s">
        <v>462</v>
      </c>
      <c r="K2" s="265" t="s">
        <v>464</v>
      </c>
      <c r="L2" s="265" t="s">
        <v>465</v>
      </c>
      <c r="M2" s="514" t="s">
        <v>470</v>
      </c>
      <c r="N2" s="514"/>
      <c r="O2" s="212" t="s">
        <v>303</v>
      </c>
      <c r="P2" s="265" t="s">
        <v>360</v>
      </c>
      <c r="Q2" s="265" t="s">
        <v>472</v>
      </c>
      <c r="R2" s="265" t="s">
        <v>370</v>
      </c>
      <c r="S2" s="265" t="s">
        <v>473</v>
      </c>
      <c r="T2" s="265" t="s">
        <v>304</v>
      </c>
      <c r="U2" s="218" t="s">
        <v>486</v>
      </c>
      <c r="V2" s="218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18" t="s">
        <v>527</v>
      </c>
      <c r="AI2" s="263"/>
      <c r="AJ2" s="263"/>
      <c r="AK2" s="218" t="s">
        <v>546</v>
      </c>
      <c r="AL2" s="218" t="s">
        <v>547</v>
      </c>
      <c r="AM2" s="279" t="s">
        <v>576</v>
      </c>
      <c r="AN2" s="510" t="s">
        <v>995</v>
      </c>
      <c r="AO2" s="511"/>
      <c r="AP2" s="279" t="s">
        <v>577</v>
      </c>
      <c r="AQ2" s="279" t="s">
        <v>578</v>
      </c>
      <c r="AR2" s="279" t="s">
        <v>579</v>
      </c>
      <c r="AS2" s="315" t="s">
        <v>996</v>
      </c>
      <c r="AT2" s="315" t="s">
        <v>199</v>
      </c>
      <c r="AU2" s="315" t="s">
        <v>576</v>
      </c>
      <c r="AV2" s="315" t="s">
        <v>627</v>
      </c>
      <c r="AW2" s="315" t="s">
        <v>468</v>
      </c>
      <c r="AX2" s="315" t="s">
        <v>505</v>
      </c>
      <c r="AY2" s="315" t="s">
        <v>626</v>
      </c>
      <c r="AZ2" s="315" t="s">
        <v>211</v>
      </c>
    </row>
    <row r="3" spans="1:52" ht="18" customHeight="1">
      <c r="A3" s="147">
        <v>1</v>
      </c>
      <c r="B3" s="135" t="str">
        <f>VLOOKUP(A3,緊急聯絡!A$2:C$27,3,0)</f>
        <v>陳威劭</v>
      </c>
      <c r="C3" s="212">
        <v>130.6</v>
      </c>
      <c r="D3" s="212">
        <v>28.4</v>
      </c>
      <c r="E3" s="212">
        <f>D3*100*100/C3/C3</f>
        <v>16.650680449990503</v>
      </c>
      <c r="F3" s="212">
        <v>170</v>
      </c>
      <c r="G3" s="212"/>
      <c r="H3" s="212">
        <f>MAX(F3:G3)</f>
        <v>170</v>
      </c>
      <c r="I3" s="189">
        <v>25</v>
      </c>
      <c r="J3" s="212"/>
      <c r="K3" s="212">
        <v>30</v>
      </c>
      <c r="L3" s="212"/>
      <c r="M3" s="212" t="s">
        <v>471</v>
      </c>
      <c r="N3" s="212"/>
      <c r="O3" s="267"/>
      <c r="P3" s="267">
        <v>95</v>
      </c>
      <c r="Q3" s="267">
        <v>95</v>
      </c>
      <c r="R3" s="267">
        <v>93</v>
      </c>
      <c r="S3" s="267"/>
      <c r="T3" s="268">
        <f>AVERAGE(P3:S3)</f>
        <v>94.333333333333329</v>
      </c>
      <c r="U3" s="269">
        <v>11.18</v>
      </c>
      <c r="V3" s="218">
        <f>RANK(U3,$U$3:$U$14,1)</f>
        <v>5</v>
      </c>
      <c r="W3" s="270">
        <f>105-U3</f>
        <v>93.82</v>
      </c>
      <c r="X3" s="208">
        <v>210</v>
      </c>
      <c r="Y3" s="263">
        <f>120-X3/10</f>
        <v>99</v>
      </c>
      <c r="Z3" s="208">
        <v>149</v>
      </c>
      <c r="AA3" s="263">
        <f>80+Z3/10</f>
        <v>94.9</v>
      </c>
      <c r="AB3" s="208">
        <v>30</v>
      </c>
      <c r="AC3" s="263">
        <f>86+AB3/10*2</f>
        <v>92</v>
      </c>
      <c r="AD3" s="208">
        <v>25</v>
      </c>
      <c r="AE3" s="208">
        <v>93</v>
      </c>
      <c r="AF3" s="263">
        <v>3.6</v>
      </c>
      <c r="AG3" s="208">
        <f>90+AF3</f>
        <v>93.6</v>
      </c>
      <c r="AH3" s="271">
        <f>AVERAGE(W3,Y3,AA3,AC3,AE3,AE5)</f>
        <v>94.52</v>
      </c>
      <c r="AI3" s="271">
        <f>AVERAGE(Y3,AA3,AC3,AE3,AG3)</f>
        <v>94.5</v>
      </c>
      <c r="AJ3" s="263"/>
      <c r="AK3" s="218">
        <v>137.5</v>
      </c>
      <c r="AL3" s="218">
        <v>28.7</v>
      </c>
      <c r="AM3" s="279">
        <v>92</v>
      </c>
      <c r="AN3" s="279">
        <v>12.4</v>
      </c>
      <c r="AO3" s="279">
        <f>105-AN3</f>
        <v>92.6</v>
      </c>
      <c r="AP3" s="279">
        <v>93</v>
      </c>
      <c r="AQ3" s="279">
        <v>93</v>
      </c>
      <c r="AR3" s="281">
        <f>AVERAGE(AM3,AO3:AQ3)</f>
        <v>92.65</v>
      </c>
      <c r="AS3" s="388">
        <f>RANK(AN3,$AN$3:$AN$16,1)</f>
        <v>8</v>
      </c>
      <c r="AT3" s="315"/>
      <c r="AU3" s="315"/>
      <c r="AV3" s="315"/>
      <c r="AW3" s="315"/>
      <c r="AX3" s="315"/>
      <c r="AY3" s="315"/>
      <c r="AZ3" s="281" t="e">
        <f>AVERAGE(AU3:AY3)</f>
        <v>#DIV/0!</v>
      </c>
    </row>
    <row r="4" spans="1:52" ht="18" customHeight="1">
      <c r="A4" s="147">
        <v>2</v>
      </c>
      <c r="B4" s="135" t="str">
        <f>VLOOKUP(A4,緊急聯絡!A$2:C$27,3,0)</f>
        <v>周宗慶</v>
      </c>
      <c r="C4" s="212">
        <v>135.80000000000001</v>
      </c>
      <c r="D4" s="212">
        <v>32.299999999999997</v>
      </c>
      <c r="E4" s="212">
        <f t="shared" ref="E4:E29" si="0">D4*100*100/C4/C4</f>
        <v>17.514711272967041</v>
      </c>
      <c r="F4" s="212">
        <v>160</v>
      </c>
      <c r="G4" s="212"/>
      <c r="H4" s="212">
        <f t="shared" ref="H4:H29" si="1">MAX(F4:G4)</f>
        <v>160</v>
      </c>
      <c r="I4" s="189">
        <v>30</v>
      </c>
      <c r="J4" s="212"/>
      <c r="K4" s="212">
        <v>18</v>
      </c>
      <c r="L4" s="212"/>
      <c r="M4" s="212"/>
      <c r="N4" s="212"/>
      <c r="O4" s="267"/>
      <c r="P4" s="267">
        <v>95</v>
      </c>
      <c r="Q4" s="267">
        <v>92</v>
      </c>
      <c r="R4" s="267">
        <v>92</v>
      </c>
      <c r="S4" s="267"/>
      <c r="T4" s="268">
        <f t="shared" ref="T4:T29" si="2">AVERAGE(P4:S4)</f>
        <v>93</v>
      </c>
      <c r="U4" s="269">
        <v>12.72</v>
      </c>
      <c r="V4" s="218">
        <f t="shared" ref="V4:V14" si="3">RANK(U4,$U$3:$U$14,1)</f>
        <v>10</v>
      </c>
      <c r="W4" s="270">
        <f t="shared" ref="W4:W29" si="4">105-U4</f>
        <v>92.28</v>
      </c>
      <c r="X4" s="208">
        <v>272</v>
      </c>
      <c r="Y4" s="263">
        <f t="shared" ref="Y4:Y29" si="5">120-X4/10</f>
        <v>92.8</v>
      </c>
      <c r="Z4" s="208">
        <v>125</v>
      </c>
      <c r="AA4" s="263">
        <f t="shared" ref="AA4:AA29" si="6">80+Z4/10</f>
        <v>92.5</v>
      </c>
      <c r="AB4" s="208">
        <v>18</v>
      </c>
      <c r="AC4" s="263">
        <f t="shared" ref="AC4:AC29" si="7">86+AB4/10*2</f>
        <v>89.6</v>
      </c>
      <c r="AD4" s="208">
        <v>30</v>
      </c>
      <c r="AE4" s="208">
        <v>94</v>
      </c>
      <c r="AF4" s="263">
        <v>3.2</v>
      </c>
      <c r="AG4" s="208">
        <f t="shared" ref="AG4:AG29" si="8">90+AF4</f>
        <v>93.2</v>
      </c>
      <c r="AH4" s="271">
        <f t="shared" ref="AH4:AH29" si="9">AVERAGE(W4,Y4,AA4,AC4,AE4,AE6)</f>
        <v>92.263333333333321</v>
      </c>
      <c r="AI4" s="271">
        <f t="shared" ref="AI4:AI29" si="10">AVERAGE(Y4,AA4,AC4,AE4,AG4)</f>
        <v>92.419999999999987</v>
      </c>
      <c r="AJ4" s="263"/>
      <c r="AK4" s="218">
        <v>128</v>
      </c>
      <c r="AL4" s="218">
        <v>27.6</v>
      </c>
      <c r="AM4" s="279">
        <v>91</v>
      </c>
      <c r="AN4" s="279">
        <v>12.6</v>
      </c>
      <c r="AO4" s="384">
        <f t="shared" ref="AO4:AO28" si="11">105-AN4</f>
        <v>92.4</v>
      </c>
      <c r="AP4" s="279">
        <v>91</v>
      </c>
      <c r="AQ4" s="279">
        <v>92</v>
      </c>
      <c r="AR4" s="281">
        <f t="shared" ref="AR4:AR28" si="12">AVERAGE(AM4,AO4:AQ4)</f>
        <v>91.6</v>
      </c>
      <c r="AS4" s="388">
        <f t="shared" ref="AS4:AS16" si="13">RANK(AN4,$AN$3:$AN$16,1)</f>
        <v>10</v>
      </c>
      <c r="AT4" s="315"/>
      <c r="AU4" s="315"/>
      <c r="AV4" s="315"/>
      <c r="AW4" s="315"/>
      <c r="AX4" s="315"/>
      <c r="AY4" s="315"/>
      <c r="AZ4" s="281" t="e">
        <f t="shared" ref="AZ4:AZ30" si="14">AVERAGE(AU4:AY4)</f>
        <v>#DIV/0!</v>
      </c>
    </row>
    <row r="5" spans="1:52" ht="18" customHeight="1">
      <c r="A5" s="147">
        <v>3</v>
      </c>
      <c r="B5" s="135" t="str">
        <f>VLOOKUP(A5,緊急聯絡!A$2:C$27,3,0)</f>
        <v>林昱任</v>
      </c>
      <c r="C5" s="212">
        <v>147.5</v>
      </c>
      <c r="D5" s="212">
        <v>46.6</v>
      </c>
      <c r="E5" s="212">
        <f t="shared" si="0"/>
        <v>21.419132433208848</v>
      </c>
      <c r="F5" s="212">
        <v>170</v>
      </c>
      <c r="G5" s="212"/>
      <c r="H5" s="212">
        <f t="shared" si="1"/>
        <v>170</v>
      </c>
      <c r="I5" s="189">
        <v>32</v>
      </c>
      <c r="J5" s="212"/>
      <c r="K5" s="212">
        <v>26</v>
      </c>
      <c r="L5" s="212"/>
      <c r="M5" s="212"/>
      <c r="N5" s="212"/>
      <c r="O5" s="267"/>
      <c r="P5" s="267">
        <v>95</v>
      </c>
      <c r="Q5" s="267">
        <v>93</v>
      </c>
      <c r="R5" s="267">
        <v>92</v>
      </c>
      <c r="S5" s="267"/>
      <c r="T5" s="268">
        <f t="shared" si="2"/>
        <v>93.333333333333329</v>
      </c>
      <c r="U5" s="269">
        <v>10.82</v>
      </c>
      <c r="V5" s="218">
        <f t="shared" si="3"/>
        <v>3</v>
      </c>
      <c r="W5" s="270">
        <f t="shared" si="4"/>
        <v>94.18</v>
      </c>
      <c r="X5" s="208">
        <v>270</v>
      </c>
      <c r="Y5" s="263">
        <f t="shared" si="5"/>
        <v>93</v>
      </c>
      <c r="Z5" s="208">
        <v>135</v>
      </c>
      <c r="AA5" s="263">
        <f t="shared" si="6"/>
        <v>93.5</v>
      </c>
      <c r="AB5" s="208">
        <v>26</v>
      </c>
      <c r="AC5" s="263">
        <f t="shared" si="7"/>
        <v>91.2</v>
      </c>
      <c r="AD5" s="208">
        <v>32</v>
      </c>
      <c r="AE5" s="208">
        <v>94.4</v>
      </c>
      <c r="AF5" s="263">
        <v>4.4000000000000004</v>
      </c>
      <c r="AG5" s="208">
        <f t="shared" si="8"/>
        <v>94.4</v>
      </c>
      <c r="AH5" s="271">
        <f t="shared" si="9"/>
        <v>92.913333333333341</v>
      </c>
      <c r="AI5" s="271">
        <f t="shared" si="10"/>
        <v>93.3</v>
      </c>
      <c r="AJ5" s="263"/>
      <c r="AK5" s="218">
        <v>136.30000000000001</v>
      </c>
      <c r="AL5" s="218">
        <v>33.200000000000003</v>
      </c>
      <c r="AM5" s="279">
        <v>91</v>
      </c>
      <c r="AN5" s="279">
        <v>12.3</v>
      </c>
      <c r="AO5" s="384">
        <f t="shared" si="11"/>
        <v>92.7</v>
      </c>
      <c r="AP5" s="279">
        <v>91</v>
      </c>
      <c r="AQ5" s="279">
        <v>91</v>
      </c>
      <c r="AR5" s="281">
        <f t="shared" si="12"/>
        <v>91.424999999999997</v>
      </c>
      <c r="AS5" s="388">
        <f t="shared" si="13"/>
        <v>6</v>
      </c>
      <c r="AT5" s="315"/>
      <c r="AU5" s="315"/>
      <c r="AV5" s="315"/>
      <c r="AW5" s="315"/>
      <c r="AX5" s="315"/>
      <c r="AY5" s="315"/>
      <c r="AZ5" s="281" t="e">
        <f t="shared" si="14"/>
        <v>#DIV/0!</v>
      </c>
    </row>
    <row r="6" spans="1:52" ht="18" customHeight="1">
      <c r="A6" s="147">
        <v>4</v>
      </c>
      <c r="B6" s="135" t="str">
        <f>VLOOKUP(A6,緊急聯絡!A$2:C$27,3,0)</f>
        <v>李奎煜</v>
      </c>
      <c r="C6" s="212">
        <v>131.6</v>
      </c>
      <c r="D6" s="212">
        <v>31.3</v>
      </c>
      <c r="E6" s="212">
        <f t="shared" si="0"/>
        <v>18.073096146561841</v>
      </c>
      <c r="F6" s="212">
        <v>173</v>
      </c>
      <c r="G6" s="212"/>
      <c r="H6" s="212">
        <f t="shared" si="1"/>
        <v>173</v>
      </c>
      <c r="I6" s="189">
        <v>22</v>
      </c>
      <c r="J6" s="212"/>
      <c r="K6" s="212">
        <v>15</v>
      </c>
      <c r="L6" s="212"/>
      <c r="M6" s="212"/>
      <c r="N6" s="212"/>
      <c r="O6" s="267"/>
      <c r="P6" s="267">
        <v>95</v>
      </c>
      <c r="Q6" s="267">
        <v>92</v>
      </c>
      <c r="R6" s="267">
        <v>93</v>
      </c>
      <c r="S6" s="267"/>
      <c r="T6" s="268">
        <f t="shared" si="2"/>
        <v>93.333333333333329</v>
      </c>
      <c r="U6" s="269">
        <v>12.11</v>
      </c>
      <c r="V6" s="218">
        <f t="shared" si="3"/>
        <v>9</v>
      </c>
      <c r="W6" s="270">
        <f t="shared" si="4"/>
        <v>92.89</v>
      </c>
      <c r="X6" s="208">
        <v>270</v>
      </c>
      <c r="Y6" s="263">
        <f t="shared" si="5"/>
        <v>93</v>
      </c>
      <c r="Z6" s="208">
        <v>145</v>
      </c>
      <c r="AA6" s="263">
        <f t="shared" si="6"/>
        <v>94.5</v>
      </c>
      <c r="AB6" s="208">
        <v>15</v>
      </c>
      <c r="AC6" s="263">
        <f t="shared" si="7"/>
        <v>89</v>
      </c>
      <c r="AD6" s="208">
        <v>22</v>
      </c>
      <c r="AE6" s="208">
        <v>92.4</v>
      </c>
      <c r="AF6" s="263">
        <v>4.2</v>
      </c>
      <c r="AG6" s="208">
        <f t="shared" si="8"/>
        <v>94.2</v>
      </c>
      <c r="AH6" s="271">
        <f t="shared" si="9"/>
        <v>92.264999999999986</v>
      </c>
      <c r="AI6" s="271">
        <f t="shared" si="10"/>
        <v>92.61999999999999</v>
      </c>
      <c r="AJ6" s="263"/>
      <c r="AK6" s="218">
        <v>128.6</v>
      </c>
      <c r="AL6" s="218">
        <v>23.4</v>
      </c>
      <c r="AM6" s="279">
        <v>93</v>
      </c>
      <c r="AN6" s="279">
        <v>13.7</v>
      </c>
      <c r="AO6" s="384">
        <f t="shared" si="11"/>
        <v>91.3</v>
      </c>
      <c r="AP6" s="279">
        <v>92</v>
      </c>
      <c r="AQ6" s="279">
        <v>92</v>
      </c>
      <c r="AR6" s="281">
        <f t="shared" si="12"/>
        <v>92.075000000000003</v>
      </c>
      <c r="AS6" s="385">
        <f t="shared" si="13"/>
        <v>13</v>
      </c>
      <c r="AT6" s="315"/>
      <c r="AU6" s="315"/>
      <c r="AV6" s="315"/>
      <c r="AW6" s="315"/>
      <c r="AX6" s="315"/>
      <c r="AY6" s="315"/>
      <c r="AZ6" s="281" t="e">
        <f t="shared" si="14"/>
        <v>#DIV/0!</v>
      </c>
    </row>
    <row r="7" spans="1:52" ht="18" customHeight="1">
      <c r="A7" s="147">
        <v>5</v>
      </c>
      <c r="B7" s="135" t="str">
        <f>VLOOKUP(A7,緊急聯絡!A$2:C$27,3,0)</f>
        <v>葉翃均</v>
      </c>
      <c r="C7" s="212">
        <v>145.6</v>
      </c>
      <c r="D7" s="212">
        <v>49.1</v>
      </c>
      <c r="E7" s="212">
        <f t="shared" si="0"/>
        <v>23.161076560801835</v>
      </c>
      <c r="F7" s="212">
        <v>125</v>
      </c>
      <c r="G7" s="212"/>
      <c r="H7" s="212">
        <f t="shared" si="1"/>
        <v>125</v>
      </c>
      <c r="I7" s="189">
        <v>16</v>
      </c>
      <c r="J7" s="212"/>
      <c r="K7" s="212">
        <v>18</v>
      </c>
      <c r="L7" s="212"/>
      <c r="M7" s="212"/>
      <c r="N7" s="212"/>
      <c r="O7" s="267"/>
      <c r="P7" s="267">
        <v>92</v>
      </c>
      <c r="Q7" s="267">
        <v>90</v>
      </c>
      <c r="R7" s="267">
        <v>90</v>
      </c>
      <c r="S7" s="267"/>
      <c r="T7" s="268">
        <f t="shared" si="2"/>
        <v>90.666666666666671</v>
      </c>
      <c r="U7" s="269">
        <v>13.14</v>
      </c>
      <c r="V7" s="218">
        <f t="shared" si="3"/>
        <v>11</v>
      </c>
      <c r="W7" s="270">
        <f t="shared" si="4"/>
        <v>91.86</v>
      </c>
      <c r="X7" s="208">
        <v>320</v>
      </c>
      <c r="Y7" s="263">
        <f t="shared" si="5"/>
        <v>88</v>
      </c>
      <c r="Z7" s="208">
        <v>114</v>
      </c>
      <c r="AA7" s="263">
        <f t="shared" si="6"/>
        <v>91.4</v>
      </c>
      <c r="AB7" s="208">
        <v>18</v>
      </c>
      <c r="AC7" s="263">
        <f t="shared" si="7"/>
        <v>89.6</v>
      </c>
      <c r="AD7" s="208">
        <v>16</v>
      </c>
      <c r="AE7" s="208">
        <v>91.2</v>
      </c>
      <c r="AF7" s="263">
        <v>1.4</v>
      </c>
      <c r="AG7" s="208">
        <f t="shared" si="8"/>
        <v>91.4</v>
      </c>
      <c r="AH7" s="271">
        <f t="shared" si="9"/>
        <v>91.11</v>
      </c>
      <c r="AI7" s="271">
        <f t="shared" si="10"/>
        <v>90.320000000000007</v>
      </c>
      <c r="AJ7" s="263"/>
      <c r="AK7" s="218">
        <v>119.9</v>
      </c>
      <c r="AL7" s="218">
        <v>21.6</v>
      </c>
      <c r="AM7" s="279">
        <v>90</v>
      </c>
      <c r="AN7" s="279">
        <v>13.3</v>
      </c>
      <c r="AO7" s="384">
        <f t="shared" si="11"/>
        <v>91.7</v>
      </c>
      <c r="AP7" s="279">
        <v>90</v>
      </c>
      <c r="AQ7" s="279">
        <v>90</v>
      </c>
      <c r="AR7" s="281">
        <f t="shared" si="12"/>
        <v>90.424999999999997</v>
      </c>
      <c r="AS7" s="385">
        <f t="shared" si="13"/>
        <v>12</v>
      </c>
      <c r="AT7" s="315"/>
      <c r="AU7" s="315"/>
      <c r="AV7" s="315"/>
      <c r="AW7" s="315"/>
      <c r="AX7" s="315"/>
      <c r="AY7" s="315"/>
      <c r="AZ7" s="281" t="e">
        <f t="shared" si="14"/>
        <v>#DIV/0!</v>
      </c>
    </row>
    <row r="8" spans="1:52" ht="18" customHeight="1">
      <c r="A8" s="147">
        <v>6</v>
      </c>
      <c r="B8" s="135" t="str">
        <f>VLOOKUP(A8,緊急聯絡!A$2:C$27,3,0)</f>
        <v>王奕勳</v>
      </c>
      <c r="C8" s="212">
        <v>133.1</v>
      </c>
      <c r="D8" s="212">
        <v>32</v>
      </c>
      <c r="E8" s="212">
        <f t="shared" si="0"/>
        <v>18.063165761720878</v>
      </c>
      <c r="F8" s="212">
        <v>146</v>
      </c>
      <c r="G8" s="212"/>
      <c r="H8" s="212">
        <f t="shared" si="1"/>
        <v>146</v>
      </c>
      <c r="I8" s="189">
        <v>19</v>
      </c>
      <c r="J8" s="212"/>
      <c r="K8" s="212">
        <v>26</v>
      </c>
      <c r="L8" s="212"/>
      <c r="M8" s="212"/>
      <c r="N8" s="212"/>
      <c r="O8" s="267"/>
      <c r="P8" s="267">
        <v>95</v>
      </c>
      <c r="Q8" s="267">
        <v>92</v>
      </c>
      <c r="R8" s="267">
        <v>90</v>
      </c>
      <c r="S8" s="267"/>
      <c r="T8" s="268">
        <f t="shared" si="2"/>
        <v>92.333333333333329</v>
      </c>
      <c r="U8" s="269">
        <v>10.91</v>
      </c>
      <c r="V8" s="218">
        <f t="shared" si="3"/>
        <v>4</v>
      </c>
      <c r="W8" s="270">
        <f t="shared" si="4"/>
        <v>94.09</v>
      </c>
      <c r="X8" s="208">
        <v>242</v>
      </c>
      <c r="Y8" s="263">
        <f t="shared" si="5"/>
        <v>95.8</v>
      </c>
      <c r="Z8" s="208">
        <v>140</v>
      </c>
      <c r="AA8" s="263">
        <f t="shared" si="6"/>
        <v>94</v>
      </c>
      <c r="AB8" s="208">
        <v>26</v>
      </c>
      <c r="AC8" s="263">
        <f t="shared" si="7"/>
        <v>91.2</v>
      </c>
      <c r="AD8" s="208">
        <v>19</v>
      </c>
      <c r="AE8" s="208">
        <v>91.8</v>
      </c>
      <c r="AF8" s="263">
        <v>5.6</v>
      </c>
      <c r="AG8" s="208">
        <f t="shared" si="8"/>
        <v>95.6</v>
      </c>
      <c r="AH8" s="271">
        <f t="shared" si="9"/>
        <v>93.148333333333326</v>
      </c>
      <c r="AI8" s="271">
        <f t="shared" si="10"/>
        <v>93.679999999999993</v>
      </c>
      <c r="AJ8" s="263"/>
      <c r="AK8" s="218">
        <v>125.7</v>
      </c>
      <c r="AL8" s="218">
        <v>27</v>
      </c>
      <c r="AM8" s="279">
        <v>92</v>
      </c>
      <c r="AN8" s="279">
        <v>12.3</v>
      </c>
      <c r="AO8" s="384">
        <f t="shared" si="11"/>
        <v>92.7</v>
      </c>
      <c r="AP8" s="279">
        <v>91</v>
      </c>
      <c r="AQ8" s="279">
        <v>92</v>
      </c>
      <c r="AR8" s="281">
        <f t="shared" si="12"/>
        <v>91.924999999999997</v>
      </c>
      <c r="AS8" s="388">
        <f t="shared" si="13"/>
        <v>6</v>
      </c>
      <c r="AT8" s="315"/>
      <c r="AU8" s="315"/>
      <c r="AV8" s="315"/>
      <c r="AW8" s="315"/>
      <c r="AX8" s="315"/>
      <c r="AY8" s="315"/>
      <c r="AZ8" s="281" t="e">
        <f t="shared" si="14"/>
        <v>#DIV/0!</v>
      </c>
    </row>
    <row r="9" spans="1:52" ht="18" customHeight="1">
      <c r="A9" s="147">
        <v>7</v>
      </c>
      <c r="B9" s="135" t="str">
        <f>VLOOKUP(A9,緊急聯絡!A$2:C$27,3,0)</f>
        <v>葉彥均</v>
      </c>
      <c r="C9" s="212">
        <v>141.80000000000001</v>
      </c>
      <c r="D9" s="212">
        <v>38.9</v>
      </c>
      <c r="E9" s="212">
        <f t="shared" si="0"/>
        <v>19.346265325325604</v>
      </c>
      <c r="F9" s="212">
        <v>120</v>
      </c>
      <c r="G9" s="212"/>
      <c r="H9" s="212">
        <f t="shared" si="1"/>
        <v>120</v>
      </c>
      <c r="I9" s="189">
        <v>33</v>
      </c>
      <c r="J9" s="212"/>
      <c r="K9" s="212">
        <v>43</v>
      </c>
      <c r="L9" s="212"/>
      <c r="M9" s="212"/>
      <c r="N9" s="212"/>
      <c r="O9" s="267"/>
      <c r="P9" s="267">
        <v>96</v>
      </c>
      <c r="Q9" s="267">
        <v>96</v>
      </c>
      <c r="R9" s="267">
        <v>92</v>
      </c>
      <c r="S9" s="267"/>
      <c r="T9" s="268">
        <f t="shared" si="2"/>
        <v>94.666666666666671</v>
      </c>
      <c r="U9" s="269">
        <v>10.08</v>
      </c>
      <c r="V9" s="218">
        <f t="shared" si="3"/>
        <v>1</v>
      </c>
      <c r="W9" s="270">
        <f t="shared" si="4"/>
        <v>94.92</v>
      </c>
      <c r="X9" s="208">
        <v>233</v>
      </c>
      <c r="Y9" s="263">
        <f t="shared" si="5"/>
        <v>96.7</v>
      </c>
      <c r="Z9" s="208">
        <v>169</v>
      </c>
      <c r="AA9" s="263">
        <f t="shared" si="6"/>
        <v>96.9</v>
      </c>
      <c r="AB9" s="208">
        <v>43</v>
      </c>
      <c r="AC9" s="263">
        <f t="shared" si="7"/>
        <v>94.6</v>
      </c>
      <c r="AD9" s="208">
        <v>33</v>
      </c>
      <c r="AE9" s="208">
        <v>94.6</v>
      </c>
      <c r="AF9" s="263">
        <v>6.2</v>
      </c>
      <c r="AG9" s="208">
        <f t="shared" si="8"/>
        <v>96.2</v>
      </c>
      <c r="AH9" s="271">
        <f t="shared" si="9"/>
        <v>95.053333333333342</v>
      </c>
      <c r="AI9" s="271">
        <f t="shared" si="10"/>
        <v>95.800000000000011</v>
      </c>
      <c r="AJ9" s="263"/>
      <c r="AK9" s="218">
        <v>124</v>
      </c>
      <c r="AL9" s="218">
        <v>24.7</v>
      </c>
      <c r="AM9" s="279">
        <v>93</v>
      </c>
      <c r="AN9" s="279">
        <v>12.6</v>
      </c>
      <c r="AO9" s="384">
        <f t="shared" si="11"/>
        <v>92.4</v>
      </c>
      <c r="AP9" s="279">
        <v>92</v>
      </c>
      <c r="AQ9" s="279">
        <v>90</v>
      </c>
      <c r="AR9" s="281">
        <f t="shared" si="12"/>
        <v>91.85</v>
      </c>
      <c r="AS9" s="385">
        <f t="shared" si="13"/>
        <v>10</v>
      </c>
      <c r="AT9" s="315"/>
      <c r="AU9" s="315"/>
      <c r="AV9" s="315"/>
      <c r="AW9" s="315"/>
      <c r="AX9" s="315"/>
      <c r="AY9" s="315"/>
      <c r="AZ9" s="281" t="e">
        <f t="shared" si="14"/>
        <v>#DIV/0!</v>
      </c>
    </row>
    <row r="10" spans="1:52" ht="18" customHeight="1">
      <c r="A10" s="147">
        <v>8</v>
      </c>
      <c r="B10" s="135" t="str">
        <f>VLOOKUP(A10,緊急聯絡!A$2:C$27,3,0)</f>
        <v>洪楷珅</v>
      </c>
      <c r="C10" s="212">
        <v>138.5</v>
      </c>
      <c r="D10" s="212">
        <v>43</v>
      </c>
      <c r="E10" s="212">
        <f t="shared" si="0"/>
        <v>22.416556973243495</v>
      </c>
      <c r="F10" s="212">
        <v>143</v>
      </c>
      <c r="G10" s="212"/>
      <c r="H10" s="212">
        <f t="shared" si="1"/>
        <v>143</v>
      </c>
      <c r="I10" s="189">
        <v>20</v>
      </c>
      <c r="J10" s="212"/>
      <c r="K10" s="212">
        <v>17</v>
      </c>
      <c r="L10" s="212"/>
      <c r="M10" s="212"/>
      <c r="N10" s="212"/>
      <c r="O10" s="267"/>
      <c r="P10" s="267">
        <v>92</v>
      </c>
      <c r="Q10" s="267">
        <v>91</v>
      </c>
      <c r="R10" s="267">
        <v>91</v>
      </c>
      <c r="S10" s="267"/>
      <c r="T10" s="268">
        <f t="shared" si="2"/>
        <v>91.333333333333329</v>
      </c>
      <c r="U10" s="269">
        <v>12.04</v>
      </c>
      <c r="V10" s="218">
        <f t="shared" si="3"/>
        <v>8</v>
      </c>
      <c r="W10" s="270">
        <f t="shared" si="4"/>
        <v>92.960000000000008</v>
      </c>
      <c r="X10" s="208">
        <v>271</v>
      </c>
      <c r="Y10" s="263">
        <f t="shared" si="5"/>
        <v>92.9</v>
      </c>
      <c r="Z10" s="208">
        <v>80</v>
      </c>
      <c r="AA10" s="263">
        <f t="shared" si="6"/>
        <v>88</v>
      </c>
      <c r="AB10" s="208">
        <v>17</v>
      </c>
      <c r="AC10" s="263">
        <f t="shared" si="7"/>
        <v>89.4</v>
      </c>
      <c r="AD10" s="208">
        <v>20</v>
      </c>
      <c r="AE10" s="208">
        <v>92</v>
      </c>
      <c r="AF10" s="263">
        <v>4</v>
      </c>
      <c r="AG10" s="208">
        <f t="shared" si="8"/>
        <v>94</v>
      </c>
      <c r="AH10" s="271">
        <f t="shared" si="9"/>
        <v>91.009999999999991</v>
      </c>
      <c r="AI10" s="271">
        <f t="shared" si="10"/>
        <v>91.26</v>
      </c>
      <c r="AJ10" s="263"/>
      <c r="AK10" s="218">
        <v>130.19999999999999</v>
      </c>
      <c r="AL10" s="218">
        <v>23.7</v>
      </c>
      <c r="AM10" s="279">
        <v>90</v>
      </c>
      <c r="AN10" s="279">
        <v>14.1</v>
      </c>
      <c r="AO10" s="384">
        <f t="shared" si="11"/>
        <v>90.9</v>
      </c>
      <c r="AP10" s="279">
        <v>91</v>
      </c>
      <c r="AQ10" s="279">
        <v>92</v>
      </c>
      <c r="AR10" s="281">
        <f t="shared" si="12"/>
        <v>90.974999999999994</v>
      </c>
      <c r="AS10" s="385">
        <f t="shared" si="13"/>
        <v>14</v>
      </c>
      <c r="AT10" s="315"/>
      <c r="AU10" s="315"/>
      <c r="AV10" s="315"/>
      <c r="AW10" s="315"/>
      <c r="AX10" s="315"/>
      <c r="AY10" s="315"/>
      <c r="AZ10" s="281" t="e">
        <f t="shared" si="14"/>
        <v>#DIV/0!</v>
      </c>
    </row>
    <row r="11" spans="1:52" ht="18" customHeight="1">
      <c r="A11" s="147">
        <v>9</v>
      </c>
      <c r="B11" s="135" t="str">
        <f>VLOOKUP(A11,緊急聯絡!A$2:C$27,3,0)</f>
        <v>吳承哲</v>
      </c>
      <c r="C11" s="212">
        <v>143</v>
      </c>
      <c r="D11" s="212">
        <v>39.200000000000003</v>
      </c>
      <c r="E11" s="212">
        <f t="shared" si="0"/>
        <v>19.169641547263929</v>
      </c>
      <c r="F11" s="212">
        <v>135</v>
      </c>
      <c r="G11" s="212"/>
      <c r="H11" s="212">
        <f t="shared" si="1"/>
        <v>135</v>
      </c>
      <c r="I11" s="189">
        <v>23</v>
      </c>
      <c r="J11" s="212"/>
      <c r="K11" s="212">
        <v>25</v>
      </c>
      <c r="L11" s="212"/>
      <c r="M11" s="212"/>
      <c r="N11" s="212"/>
      <c r="O11" s="267"/>
      <c r="P11" s="267">
        <v>96</v>
      </c>
      <c r="Q11" s="267">
        <v>93</v>
      </c>
      <c r="R11" s="267">
        <v>94</v>
      </c>
      <c r="S11" s="267"/>
      <c r="T11" s="268">
        <f t="shared" si="2"/>
        <v>94.333333333333329</v>
      </c>
      <c r="U11" s="269">
        <v>11.55</v>
      </c>
      <c r="V11" s="218">
        <f t="shared" si="3"/>
        <v>6</v>
      </c>
      <c r="W11" s="270">
        <f t="shared" si="4"/>
        <v>93.45</v>
      </c>
      <c r="X11" s="208">
        <v>234</v>
      </c>
      <c r="Y11" s="263">
        <f t="shared" si="5"/>
        <v>96.6</v>
      </c>
      <c r="Z11" s="208">
        <v>170</v>
      </c>
      <c r="AA11" s="263">
        <f t="shared" si="6"/>
        <v>97</v>
      </c>
      <c r="AB11" s="208">
        <v>25</v>
      </c>
      <c r="AC11" s="263">
        <f t="shared" si="7"/>
        <v>91</v>
      </c>
      <c r="AD11" s="208">
        <v>23</v>
      </c>
      <c r="AE11" s="208">
        <v>92.6</v>
      </c>
      <c r="AF11" s="263">
        <v>6</v>
      </c>
      <c r="AG11" s="208">
        <f t="shared" si="8"/>
        <v>96</v>
      </c>
      <c r="AH11" s="271">
        <f t="shared" si="9"/>
        <v>93.908333333333317</v>
      </c>
      <c r="AI11" s="271">
        <f t="shared" si="10"/>
        <v>94.640000000000015</v>
      </c>
      <c r="AJ11" s="263"/>
      <c r="AK11" s="218">
        <v>116.6</v>
      </c>
      <c r="AL11" s="218">
        <v>18.7</v>
      </c>
      <c r="AM11" s="279">
        <v>92</v>
      </c>
      <c r="AN11" s="279">
        <v>11.3</v>
      </c>
      <c r="AO11" s="384">
        <f t="shared" si="11"/>
        <v>93.7</v>
      </c>
      <c r="AP11" s="279">
        <v>92</v>
      </c>
      <c r="AQ11" s="279">
        <v>90</v>
      </c>
      <c r="AR11" s="281">
        <f t="shared" si="12"/>
        <v>91.924999999999997</v>
      </c>
      <c r="AS11" s="386">
        <f t="shared" si="13"/>
        <v>2</v>
      </c>
      <c r="AT11" s="315"/>
      <c r="AU11" s="315"/>
      <c r="AV11" s="315"/>
      <c r="AW11" s="315"/>
      <c r="AX11" s="315"/>
      <c r="AY11" s="315"/>
      <c r="AZ11" s="281" t="e">
        <f t="shared" si="14"/>
        <v>#DIV/0!</v>
      </c>
    </row>
    <row r="12" spans="1:52" ht="18" customHeight="1">
      <c r="A12" s="147">
        <v>10</v>
      </c>
      <c r="B12" s="135" t="str">
        <f>VLOOKUP(A12,緊急聯絡!A$2:C$27,3,0)</f>
        <v>李宥霆</v>
      </c>
      <c r="C12" s="212">
        <v>132.6</v>
      </c>
      <c r="D12" s="212">
        <v>26.4</v>
      </c>
      <c r="E12" s="212">
        <f t="shared" si="0"/>
        <v>15.014707588569713</v>
      </c>
      <c r="F12" s="212">
        <v>120</v>
      </c>
      <c r="G12" s="212"/>
      <c r="H12" s="212">
        <f t="shared" si="1"/>
        <v>120</v>
      </c>
      <c r="I12" s="189">
        <v>14</v>
      </c>
      <c r="J12" s="212"/>
      <c r="K12" s="212">
        <v>18</v>
      </c>
      <c r="L12" s="212"/>
      <c r="M12" s="212"/>
      <c r="N12" s="212"/>
      <c r="O12" s="267"/>
      <c r="P12" s="267">
        <v>94</v>
      </c>
      <c r="Q12" s="267">
        <v>90</v>
      </c>
      <c r="R12" s="267">
        <v>90</v>
      </c>
      <c r="S12" s="267"/>
      <c r="T12" s="268">
        <f t="shared" si="2"/>
        <v>91.333333333333329</v>
      </c>
      <c r="U12" s="269">
        <v>13.92</v>
      </c>
      <c r="V12" s="218">
        <f t="shared" si="3"/>
        <v>12</v>
      </c>
      <c r="W12" s="270">
        <f t="shared" si="4"/>
        <v>91.08</v>
      </c>
      <c r="X12" s="208">
        <v>288</v>
      </c>
      <c r="Y12" s="263">
        <f t="shared" si="5"/>
        <v>91.2</v>
      </c>
      <c r="Z12" s="208">
        <v>110</v>
      </c>
      <c r="AA12" s="263">
        <f t="shared" si="6"/>
        <v>91</v>
      </c>
      <c r="AB12" s="208">
        <v>18</v>
      </c>
      <c r="AC12" s="263">
        <f t="shared" si="7"/>
        <v>89.6</v>
      </c>
      <c r="AD12" s="208">
        <v>14</v>
      </c>
      <c r="AE12" s="208">
        <v>90.8</v>
      </c>
      <c r="AF12" s="263">
        <v>1.6</v>
      </c>
      <c r="AG12" s="208">
        <f t="shared" si="8"/>
        <v>91.6</v>
      </c>
      <c r="AH12" s="271">
        <f t="shared" si="9"/>
        <v>91.113333333333344</v>
      </c>
      <c r="AI12" s="271">
        <f t="shared" si="10"/>
        <v>90.839999999999989</v>
      </c>
      <c r="AJ12" s="263"/>
      <c r="AK12" s="218">
        <v>136</v>
      </c>
      <c r="AL12" s="218">
        <v>31.2</v>
      </c>
      <c r="AM12" s="279">
        <v>90</v>
      </c>
      <c r="AN12" s="279">
        <v>10.6</v>
      </c>
      <c r="AO12" s="384">
        <f t="shared" si="11"/>
        <v>94.4</v>
      </c>
      <c r="AP12" s="279">
        <v>90</v>
      </c>
      <c r="AQ12" s="279">
        <v>90</v>
      </c>
      <c r="AR12" s="281">
        <f t="shared" si="12"/>
        <v>91.1</v>
      </c>
      <c r="AS12" s="386">
        <f t="shared" si="13"/>
        <v>1</v>
      </c>
      <c r="AT12" s="315"/>
      <c r="AU12" s="315"/>
      <c r="AV12" s="315"/>
      <c r="AW12" s="315"/>
      <c r="AX12" s="315"/>
      <c r="AY12" s="315"/>
      <c r="AZ12" s="281" t="e">
        <f t="shared" si="14"/>
        <v>#DIV/0!</v>
      </c>
    </row>
    <row r="13" spans="1:52" ht="18" customHeight="1">
      <c r="A13" s="147">
        <v>11</v>
      </c>
      <c r="B13" s="135" t="str">
        <f>VLOOKUP(A13,緊急聯絡!A$2:C$27,3,0)</f>
        <v>柯皓哲</v>
      </c>
      <c r="C13" s="212">
        <v>132.4</v>
      </c>
      <c r="D13" s="212">
        <v>26.4</v>
      </c>
      <c r="E13" s="212">
        <f t="shared" si="0"/>
        <v>15.060103503984079</v>
      </c>
      <c r="F13" s="212">
        <v>150</v>
      </c>
      <c r="G13" s="212"/>
      <c r="H13" s="212">
        <f t="shared" si="1"/>
        <v>150</v>
      </c>
      <c r="I13" s="189">
        <v>24</v>
      </c>
      <c r="J13" s="212"/>
      <c r="K13" s="212">
        <v>20</v>
      </c>
      <c r="L13" s="212"/>
      <c r="M13" s="212"/>
      <c r="N13" s="212"/>
      <c r="O13" s="267"/>
      <c r="P13" s="267">
        <v>95</v>
      </c>
      <c r="Q13" s="267">
        <v>93</v>
      </c>
      <c r="R13" s="267">
        <v>93</v>
      </c>
      <c r="S13" s="267"/>
      <c r="T13" s="268">
        <f t="shared" si="2"/>
        <v>93.666666666666671</v>
      </c>
      <c r="U13" s="269">
        <v>10.27</v>
      </c>
      <c r="V13" s="218">
        <f t="shared" si="3"/>
        <v>2</v>
      </c>
      <c r="W13" s="270">
        <f t="shared" si="4"/>
        <v>94.73</v>
      </c>
      <c r="X13" s="208">
        <v>240</v>
      </c>
      <c r="Y13" s="263">
        <f t="shared" si="5"/>
        <v>96</v>
      </c>
      <c r="Z13" s="208">
        <v>144</v>
      </c>
      <c r="AA13" s="263">
        <f t="shared" si="6"/>
        <v>94.4</v>
      </c>
      <c r="AB13" s="208">
        <v>20</v>
      </c>
      <c r="AC13" s="263">
        <f t="shared" si="7"/>
        <v>90</v>
      </c>
      <c r="AD13" s="208">
        <v>24</v>
      </c>
      <c r="AE13" s="208">
        <v>92.8</v>
      </c>
      <c r="AF13" s="263">
        <v>5.2</v>
      </c>
      <c r="AG13" s="208">
        <f t="shared" si="8"/>
        <v>95.2</v>
      </c>
      <c r="AH13" s="271">
        <f t="shared" si="9"/>
        <v>93.788333333333341</v>
      </c>
      <c r="AI13" s="271">
        <f t="shared" si="10"/>
        <v>93.679999999999993</v>
      </c>
      <c r="AJ13" s="263"/>
      <c r="AK13" s="218">
        <v>124.6</v>
      </c>
      <c r="AL13" s="218">
        <v>24.2</v>
      </c>
      <c r="AM13" s="279">
        <v>90</v>
      </c>
      <c r="AN13" s="279">
        <v>11.3</v>
      </c>
      <c r="AO13" s="384">
        <f t="shared" si="11"/>
        <v>93.7</v>
      </c>
      <c r="AP13" s="279">
        <v>90</v>
      </c>
      <c r="AQ13" s="279">
        <v>89</v>
      </c>
      <c r="AR13" s="281">
        <f t="shared" si="12"/>
        <v>90.674999999999997</v>
      </c>
      <c r="AS13" s="386">
        <f t="shared" si="13"/>
        <v>2</v>
      </c>
      <c r="AT13" s="315"/>
      <c r="AU13" s="315"/>
      <c r="AV13" s="315"/>
      <c r="AW13" s="315"/>
      <c r="AX13" s="315"/>
      <c r="AY13" s="315"/>
      <c r="AZ13" s="281" t="e">
        <f t="shared" si="14"/>
        <v>#DIV/0!</v>
      </c>
    </row>
    <row r="14" spans="1:52" ht="18" customHeight="1">
      <c r="A14" s="147">
        <v>12</v>
      </c>
      <c r="B14" s="135" t="str">
        <f>VLOOKUP(A14,緊急聯絡!A$2:C$27,3,0)</f>
        <v>魏宇謙</v>
      </c>
      <c r="C14" s="212">
        <v>125.3</v>
      </c>
      <c r="D14" s="212">
        <v>23.7</v>
      </c>
      <c r="E14" s="212">
        <f t="shared" si="0"/>
        <v>15.095454866819235</v>
      </c>
      <c r="F14" s="212">
        <v>160</v>
      </c>
      <c r="G14" s="212"/>
      <c r="H14" s="212">
        <f t="shared" si="1"/>
        <v>160</v>
      </c>
      <c r="I14" s="189">
        <v>25</v>
      </c>
      <c r="J14" s="212"/>
      <c r="K14" s="212">
        <v>18</v>
      </c>
      <c r="L14" s="212"/>
      <c r="M14" s="212"/>
      <c r="N14" s="212"/>
      <c r="O14" s="267"/>
      <c r="P14" s="267">
        <v>96</v>
      </c>
      <c r="Q14" s="267">
        <v>93</v>
      </c>
      <c r="R14" s="267">
        <v>93</v>
      </c>
      <c r="S14" s="267"/>
      <c r="T14" s="268">
        <f t="shared" si="2"/>
        <v>94</v>
      </c>
      <c r="U14" s="269">
        <v>11.84</v>
      </c>
      <c r="V14" s="218">
        <f t="shared" si="3"/>
        <v>7</v>
      </c>
      <c r="W14" s="270">
        <f t="shared" si="4"/>
        <v>93.16</v>
      </c>
      <c r="X14" s="208">
        <v>233</v>
      </c>
      <c r="Y14" s="263">
        <f t="shared" si="5"/>
        <v>96.7</v>
      </c>
      <c r="Z14" s="208">
        <v>130</v>
      </c>
      <c r="AA14" s="263">
        <f t="shared" si="6"/>
        <v>93</v>
      </c>
      <c r="AB14" s="208">
        <v>18</v>
      </c>
      <c r="AC14" s="263">
        <f t="shared" si="7"/>
        <v>89.6</v>
      </c>
      <c r="AD14" s="208">
        <v>25</v>
      </c>
      <c r="AE14" s="208">
        <v>93</v>
      </c>
      <c r="AF14" s="263">
        <v>3.2</v>
      </c>
      <c r="AG14" s="208">
        <f t="shared" si="8"/>
        <v>93.2</v>
      </c>
      <c r="AH14" s="271">
        <f t="shared" si="9"/>
        <v>93.243333333333339</v>
      </c>
      <c r="AI14" s="271">
        <f t="shared" si="10"/>
        <v>93.1</v>
      </c>
      <c r="AJ14" s="263"/>
      <c r="AK14" s="218">
        <v>129.19999999999999</v>
      </c>
      <c r="AL14" s="218">
        <v>29.1</v>
      </c>
      <c r="AM14" s="279">
        <v>89</v>
      </c>
      <c r="AN14" s="279">
        <v>12.5</v>
      </c>
      <c r="AO14" s="384">
        <f t="shared" si="11"/>
        <v>92.5</v>
      </c>
      <c r="AP14" s="279">
        <v>91</v>
      </c>
      <c r="AQ14" s="279">
        <v>90</v>
      </c>
      <c r="AR14" s="281">
        <f t="shared" si="12"/>
        <v>90.625</v>
      </c>
      <c r="AS14" s="388">
        <f t="shared" si="13"/>
        <v>9</v>
      </c>
      <c r="AT14" s="315"/>
      <c r="AU14" s="315"/>
      <c r="AV14" s="315"/>
      <c r="AW14" s="315"/>
      <c r="AX14" s="315"/>
      <c r="AY14" s="315"/>
      <c r="AZ14" s="281" t="e">
        <f t="shared" si="14"/>
        <v>#DIV/0!</v>
      </c>
    </row>
    <row r="15" spans="1:52" ht="18" customHeight="1">
      <c r="A15" s="147">
        <v>13</v>
      </c>
      <c r="B15" s="135" t="str">
        <f>VLOOKUP(A15,緊急聯絡!A$2:C$27,3,0)</f>
        <v>林季曄</v>
      </c>
      <c r="C15" s="212">
        <v>134.69999999999999</v>
      </c>
      <c r="D15" s="212">
        <v>30.3</v>
      </c>
      <c r="E15" s="212">
        <f t="shared" si="0"/>
        <v>16.69965261415701</v>
      </c>
      <c r="F15" s="212">
        <v>140</v>
      </c>
      <c r="G15" s="212"/>
      <c r="H15" s="212">
        <f t="shared" si="1"/>
        <v>140</v>
      </c>
      <c r="I15" s="189">
        <v>34</v>
      </c>
      <c r="J15" s="212"/>
      <c r="K15" s="212">
        <v>25</v>
      </c>
      <c r="L15" s="212"/>
      <c r="M15" s="212"/>
      <c r="N15" s="212"/>
      <c r="O15" s="267"/>
      <c r="P15" s="267">
        <v>96</v>
      </c>
      <c r="Q15" s="267">
        <v>94</v>
      </c>
      <c r="R15" s="267">
        <v>94</v>
      </c>
      <c r="S15" s="267"/>
      <c r="T15" s="268">
        <f t="shared" si="2"/>
        <v>94.666666666666671</v>
      </c>
      <c r="U15" s="269">
        <v>11.09</v>
      </c>
      <c r="V15" s="218">
        <f>RANK(U15,$U$15:$U$29,1)</f>
        <v>3</v>
      </c>
      <c r="W15" s="270">
        <f t="shared" si="4"/>
        <v>93.91</v>
      </c>
      <c r="X15" s="208">
        <v>242</v>
      </c>
      <c r="Y15" s="263">
        <f t="shared" si="5"/>
        <v>95.8</v>
      </c>
      <c r="Z15" s="208">
        <v>150</v>
      </c>
      <c r="AA15" s="263">
        <f t="shared" si="6"/>
        <v>95</v>
      </c>
      <c r="AB15" s="208">
        <v>25</v>
      </c>
      <c r="AC15" s="263">
        <f t="shared" si="7"/>
        <v>91</v>
      </c>
      <c r="AD15" s="208">
        <v>34</v>
      </c>
      <c r="AE15" s="208">
        <v>94.8</v>
      </c>
      <c r="AF15" s="263">
        <v>5.4</v>
      </c>
      <c r="AG15" s="208">
        <f t="shared" si="8"/>
        <v>95.4</v>
      </c>
      <c r="AH15" s="271">
        <f t="shared" si="9"/>
        <v>93.851666666666674</v>
      </c>
      <c r="AI15" s="271">
        <f t="shared" si="10"/>
        <v>94.4</v>
      </c>
      <c r="AJ15" s="263"/>
      <c r="AK15" s="218">
        <v>136.19999999999999</v>
      </c>
      <c r="AL15" s="218">
        <v>30.8</v>
      </c>
      <c r="AM15" s="279">
        <v>90</v>
      </c>
      <c r="AN15" s="279">
        <v>11.5</v>
      </c>
      <c r="AO15" s="384">
        <f t="shared" si="11"/>
        <v>93.5</v>
      </c>
      <c r="AP15" s="279">
        <v>91</v>
      </c>
      <c r="AQ15" s="279">
        <v>91</v>
      </c>
      <c r="AR15" s="281">
        <f t="shared" si="12"/>
        <v>91.375</v>
      </c>
      <c r="AS15" s="386">
        <f t="shared" si="13"/>
        <v>5</v>
      </c>
      <c r="AT15" s="315"/>
      <c r="AU15" s="315"/>
      <c r="AV15" s="315"/>
      <c r="AW15" s="315"/>
      <c r="AX15" s="315"/>
      <c r="AY15" s="315"/>
      <c r="AZ15" s="281" t="e">
        <f t="shared" si="14"/>
        <v>#DIV/0!</v>
      </c>
    </row>
    <row r="16" spans="1:52" ht="18" customHeight="1">
      <c r="A16" s="147">
        <v>14</v>
      </c>
      <c r="B16" s="135" t="str">
        <f>VLOOKUP(A16,緊急聯絡!A$2:C$27,3,0)</f>
        <v>高翊庭</v>
      </c>
      <c r="C16" s="212">
        <v>133.30000000000001</v>
      </c>
      <c r="D16" s="212">
        <v>25.6</v>
      </c>
      <c r="E16" s="212">
        <f t="shared" si="0"/>
        <v>14.40720270090028</v>
      </c>
      <c r="F16" s="212">
        <v>182</v>
      </c>
      <c r="G16" s="212"/>
      <c r="H16" s="212">
        <f t="shared" si="1"/>
        <v>182</v>
      </c>
      <c r="I16" s="189">
        <v>30</v>
      </c>
      <c r="J16" s="212"/>
      <c r="K16" s="212">
        <v>22</v>
      </c>
      <c r="L16" s="212"/>
      <c r="M16" s="212"/>
      <c r="N16" s="212"/>
      <c r="O16" s="267"/>
      <c r="P16" s="267">
        <v>96</v>
      </c>
      <c r="Q16" s="267">
        <v>94</v>
      </c>
      <c r="R16" s="267">
        <v>94</v>
      </c>
      <c r="S16" s="267"/>
      <c r="T16" s="268">
        <f t="shared" si="2"/>
        <v>94.666666666666671</v>
      </c>
      <c r="U16" s="269">
        <v>10.92</v>
      </c>
      <c r="V16" s="218">
        <f t="shared" ref="V16:V29" si="15">RANK(U16,$U$15:$U$29,1)</f>
        <v>2</v>
      </c>
      <c r="W16" s="270">
        <f t="shared" si="4"/>
        <v>94.08</v>
      </c>
      <c r="X16" s="208">
        <v>242</v>
      </c>
      <c r="Y16" s="263">
        <f t="shared" si="5"/>
        <v>95.8</v>
      </c>
      <c r="Z16" s="208">
        <v>153</v>
      </c>
      <c r="AA16" s="263">
        <f t="shared" si="6"/>
        <v>95.3</v>
      </c>
      <c r="AB16" s="208">
        <v>22</v>
      </c>
      <c r="AC16" s="263">
        <f t="shared" si="7"/>
        <v>90.4</v>
      </c>
      <c r="AD16" s="208">
        <v>30</v>
      </c>
      <c r="AE16" s="208">
        <v>94</v>
      </c>
      <c r="AF16" s="263">
        <v>5</v>
      </c>
      <c r="AG16" s="208">
        <f t="shared" si="8"/>
        <v>95</v>
      </c>
      <c r="AH16" s="271">
        <f t="shared" si="9"/>
        <v>93.863333333333344</v>
      </c>
      <c r="AI16" s="271">
        <f t="shared" si="10"/>
        <v>94.1</v>
      </c>
      <c r="AJ16" s="263"/>
      <c r="AK16" s="218">
        <v>129.80000000000001</v>
      </c>
      <c r="AL16" s="218">
        <v>24.4</v>
      </c>
      <c r="AM16" s="279">
        <v>92</v>
      </c>
      <c r="AN16" s="279">
        <v>11.4</v>
      </c>
      <c r="AO16" s="384">
        <f t="shared" si="11"/>
        <v>93.6</v>
      </c>
      <c r="AP16" s="279">
        <v>93</v>
      </c>
      <c r="AQ16" s="279">
        <v>91</v>
      </c>
      <c r="AR16" s="281">
        <f t="shared" si="12"/>
        <v>92.4</v>
      </c>
      <c r="AS16" s="386">
        <f t="shared" si="13"/>
        <v>4</v>
      </c>
      <c r="AT16" s="315"/>
      <c r="AU16" s="315"/>
      <c r="AV16" s="315"/>
      <c r="AW16" s="315"/>
      <c r="AX16" s="315"/>
      <c r="AY16" s="315"/>
      <c r="AZ16" s="281" t="e">
        <f t="shared" si="14"/>
        <v>#DIV/0!</v>
      </c>
    </row>
    <row r="17" spans="1:52" ht="18" customHeight="1">
      <c r="A17" s="147">
        <v>15</v>
      </c>
      <c r="B17" s="135" t="str">
        <f>VLOOKUP(A17,緊急聯絡!A$2:C$27,3,0)</f>
        <v>藍彩華</v>
      </c>
      <c r="C17" s="212">
        <v>140</v>
      </c>
      <c r="D17" s="212">
        <v>34.6</v>
      </c>
      <c r="E17" s="212">
        <f t="shared" si="0"/>
        <v>17.653061224489797</v>
      </c>
      <c r="F17" s="212">
        <v>142</v>
      </c>
      <c r="G17" s="212"/>
      <c r="H17" s="212">
        <f t="shared" si="1"/>
        <v>142</v>
      </c>
      <c r="I17" s="189">
        <v>23</v>
      </c>
      <c r="J17" s="212"/>
      <c r="K17" s="212">
        <v>21</v>
      </c>
      <c r="L17" s="212"/>
      <c r="M17" s="212"/>
      <c r="N17" s="212"/>
      <c r="O17" s="267"/>
      <c r="P17" s="267">
        <v>94</v>
      </c>
      <c r="Q17" s="267">
        <v>92</v>
      </c>
      <c r="R17" s="267">
        <v>92</v>
      </c>
      <c r="S17" s="267"/>
      <c r="T17" s="268">
        <f t="shared" si="2"/>
        <v>92.666666666666671</v>
      </c>
      <c r="U17" s="269">
        <v>11.41</v>
      </c>
      <c r="V17" s="218">
        <f t="shared" si="15"/>
        <v>5</v>
      </c>
      <c r="W17" s="270">
        <f t="shared" si="4"/>
        <v>93.59</v>
      </c>
      <c r="X17" s="208">
        <v>280</v>
      </c>
      <c r="Y17" s="263">
        <f t="shared" si="5"/>
        <v>92</v>
      </c>
      <c r="Z17" s="208">
        <v>130</v>
      </c>
      <c r="AA17" s="263">
        <f t="shared" si="6"/>
        <v>93</v>
      </c>
      <c r="AB17" s="208">
        <v>21</v>
      </c>
      <c r="AC17" s="263">
        <f t="shared" si="7"/>
        <v>90.2</v>
      </c>
      <c r="AD17" s="208">
        <v>23</v>
      </c>
      <c r="AE17" s="208">
        <v>92.6</v>
      </c>
      <c r="AF17" s="263">
        <v>4.5999999999999996</v>
      </c>
      <c r="AG17" s="208">
        <f t="shared" si="8"/>
        <v>94.6</v>
      </c>
      <c r="AH17" s="271">
        <f t="shared" si="9"/>
        <v>92.531666666666652</v>
      </c>
      <c r="AI17" s="271">
        <f t="shared" si="10"/>
        <v>92.47999999999999</v>
      </c>
      <c r="AJ17" s="263"/>
      <c r="AK17" s="218">
        <v>132.6</v>
      </c>
      <c r="AL17" s="218">
        <v>30.5</v>
      </c>
      <c r="AM17" s="279">
        <v>91</v>
      </c>
      <c r="AN17" s="279">
        <v>12.4</v>
      </c>
      <c r="AO17" s="384">
        <f t="shared" si="11"/>
        <v>92.6</v>
      </c>
      <c r="AP17" s="279">
        <v>92</v>
      </c>
      <c r="AQ17" s="279">
        <v>92</v>
      </c>
      <c r="AR17" s="281">
        <f t="shared" si="12"/>
        <v>91.9</v>
      </c>
      <c r="AS17" s="387">
        <f>RANK(AN17,$AN$17:$AN$28,1)</f>
        <v>5</v>
      </c>
      <c r="AT17" s="315"/>
      <c r="AU17" s="315"/>
      <c r="AV17" s="315"/>
      <c r="AW17" s="315"/>
      <c r="AX17" s="315"/>
      <c r="AY17" s="315"/>
      <c r="AZ17" s="281" t="e">
        <f t="shared" si="14"/>
        <v>#DIV/0!</v>
      </c>
    </row>
    <row r="18" spans="1:52" ht="18" customHeight="1">
      <c r="A18" s="147">
        <v>16</v>
      </c>
      <c r="B18" s="135" t="str">
        <f>VLOOKUP(A18,緊急聯絡!A$2:C$27,3,0)</f>
        <v>曾琛晞</v>
      </c>
      <c r="C18" s="212">
        <v>139.69999999999999</v>
      </c>
      <c r="D18" s="212">
        <v>31.4</v>
      </c>
      <c r="E18" s="212">
        <f t="shared" si="0"/>
        <v>16.089288376923864</v>
      </c>
      <c r="F18" s="212">
        <v>162</v>
      </c>
      <c r="G18" s="212"/>
      <c r="H18" s="212">
        <f t="shared" si="1"/>
        <v>162</v>
      </c>
      <c r="I18" s="189">
        <v>28</v>
      </c>
      <c r="J18" s="212"/>
      <c r="K18" s="212">
        <v>30</v>
      </c>
      <c r="L18" s="212"/>
      <c r="M18" s="212"/>
      <c r="N18" s="212"/>
      <c r="O18" s="267"/>
      <c r="P18" s="267">
        <v>94</v>
      </c>
      <c r="Q18" s="267">
        <v>92</v>
      </c>
      <c r="R18" s="267">
        <v>91</v>
      </c>
      <c r="S18" s="267"/>
      <c r="T18" s="268">
        <f t="shared" si="2"/>
        <v>92.333333333333329</v>
      </c>
      <c r="U18" s="269">
        <v>10.3</v>
      </c>
      <c r="V18" s="218">
        <f t="shared" si="15"/>
        <v>1</v>
      </c>
      <c r="W18" s="270">
        <f t="shared" si="4"/>
        <v>94.7</v>
      </c>
      <c r="X18" s="208">
        <v>238</v>
      </c>
      <c r="Y18" s="263">
        <f t="shared" si="5"/>
        <v>96.2</v>
      </c>
      <c r="Z18" s="208">
        <v>142</v>
      </c>
      <c r="AA18" s="263">
        <f t="shared" si="6"/>
        <v>94.2</v>
      </c>
      <c r="AB18" s="208">
        <v>30</v>
      </c>
      <c r="AC18" s="263">
        <f t="shared" si="7"/>
        <v>92</v>
      </c>
      <c r="AD18" s="208">
        <v>28</v>
      </c>
      <c r="AE18" s="208">
        <v>93.6</v>
      </c>
      <c r="AF18" s="263">
        <v>5.8</v>
      </c>
      <c r="AG18" s="208">
        <f t="shared" si="8"/>
        <v>95.8</v>
      </c>
      <c r="AH18" s="271">
        <f t="shared" si="9"/>
        <v>93.983333333333348</v>
      </c>
      <c r="AI18" s="271">
        <f t="shared" si="10"/>
        <v>94.36</v>
      </c>
      <c r="AJ18" s="263"/>
      <c r="AK18" s="218">
        <v>132.69999999999999</v>
      </c>
      <c r="AL18" s="218">
        <v>26.6</v>
      </c>
      <c r="AM18" s="279">
        <v>90</v>
      </c>
      <c r="AN18" s="279">
        <v>12.1</v>
      </c>
      <c r="AO18" s="384">
        <f t="shared" si="11"/>
        <v>92.9</v>
      </c>
      <c r="AP18" s="279">
        <v>89</v>
      </c>
      <c r="AQ18" s="279">
        <v>90</v>
      </c>
      <c r="AR18" s="281">
        <f t="shared" si="12"/>
        <v>90.474999999999994</v>
      </c>
      <c r="AS18" s="387">
        <f t="shared" ref="AS18:AS28" si="16">RANK(AN18,$AN$17:$AN$28,1)</f>
        <v>3</v>
      </c>
      <c r="AT18" s="315"/>
      <c r="AU18" s="315"/>
      <c r="AV18" s="315"/>
      <c r="AW18" s="315"/>
      <c r="AX18" s="315"/>
      <c r="AY18" s="315"/>
      <c r="AZ18" s="281" t="e">
        <f t="shared" si="14"/>
        <v>#DIV/0!</v>
      </c>
    </row>
    <row r="19" spans="1:52" ht="18" customHeight="1">
      <c r="A19" s="147">
        <v>17</v>
      </c>
      <c r="B19" s="135" t="str">
        <f>VLOOKUP(A19,緊急聯絡!A$2:C$27,3,0)</f>
        <v>張智函</v>
      </c>
      <c r="C19" s="212">
        <v>149.6</v>
      </c>
      <c r="D19" s="212">
        <v>64.3</v>
      </c>
      <c r="E19" s="212">
        <f t="shared" si="0"/>
        <v>28.730804426778004</v>
      </c>
      <c r="F19" s="212">
        <v>130</v>
      </c>
      <c r="G19" s="212"/>
      <c r="H19" s="212">
        <f t="shared" si="1"/>
        <v>130</v>
      </c>
      <c r="I19" s="189">
        <v>29</v>
      </c>
      <c r="J19" s="212"/>
      <c r="K19" s="212">
        <v>21</v>
      </c>
      <c r="L19" s="212"/>
      <c r="M19" s="212"/>
      <c r="N19" s="212"/>
      <c r="O19" s="267"/>
      <c r="P19" s="267">
        <v>94</v>
      </c>
      <c r="Q19" s="267">
        <v>91</v>
      </c>
      <c r="R19" s="267">
        <v>91</v>
      </c>
      <c r="S19" s="267"/>
      <c r="T19" s="268">
        <f t="shared" si="2"/>
        <v>92</v>
      </c>
      <c r="U19" s="269">
        <v>13.26</v>
      </c>
      <c r="V19" s="218">
        <f t="shared" si="15"/>
        <v>12</v>
      </c>
      <c r="W19" s="270">
        <f t="shared" si="4"/>
        <v>91.74</v>
      </c>
      <c r="X19" s="208">
        <v>335</v>
      </c>
      <c r="Y19" s="263">
        <f t="shared" si="5"/>
        <v>86.5</v>
      </c>
      <c r="Z19" s="208">
        <v>105</v>
      </c>
      <c r="AA19" s="263">
        <f t="shared" si="6"/>
        <v>90.5</v>
      </c>
      <c r="AB19" s="208">
        <v>21</v>
      </c>
      <c r="AC19" s="263">
        <f t="shared" si="7"/>
        <v>90.2</v>
      </c>
      <c r="AD19" s="208">
        <v>29</v>
      </c>
      <c r="AE19" s="208">
        <v>93.8</v>
      </c>
      <c r="AF19" s="263">
        <v>2.6</v>
      </c>
      <c r="AG19" s="208">
        <f t="shared" si="8"/>
        <v>92.6</v>
      </c>
      <c r="AH19" s="271">
        <f t="shared" si="9"/>
        <v>91.056666666666672</v>
      </c>
      <c r="AI19" s="271">
        <f t="shared" si="10"/>
        <v>90.72</v>
      </c>
      <c r="AJ19" s="263"/>
      <c r="AK19" s="218">
        <v>138.69999999999999</v>
      </c>
      <c r="AL19" s="218">
        <v>29.1</v>
      </c>
      <c r="AM19" s="279">
        <v>90</v>
      </c>
      <c r="AN19" s="279">
        <v>11.8</v>
      </c>
      <c r="AO19" s="384">
        <f t="shared" si="11"/>
        <v>93.2</v>
      </c>
      <c r="AP19" s="279">
        <v>90</v>
      </c>
      <c r="AQ19" s="279">
        <v>90</v>
      </c>
      <c r="AR19" s="281">
        <f t="shared" si="12"/>
        <v>90.8</v>
      </c>
      <c r="AS19" s="387">
        <f t="shared" si="16"/>
        <v>2</v>
      </c>
      <c r="AT19" s="315"/>
      <c r="AU19" s="315"/>
      <c r="AV19" s="315"/>
      <c r="AW19" s="315"/>
      <c r="AX19" s="315"/>
      <c r="AY19" s="315"/>
      <c r="AZ19" s="281" t="e">
        <f t="shared" si="14"/>
        <v>#DIV/0!</v>
      </c>
    </row>
    <row r="20" spans="1:52" ht="18" customHeight="1">
      <c r="A20" s="147">
        <v>18</v>
      </c>
      <c r="B20" s="135" t="str">
        <f>VLOOKUP(A20,緊急聯絡!A$2:C$27,3,0)</f>
        <v>許凌菲</v>
      </c>
      <c r="C20" s="212">
        <v>142.19999999999999</v>
      </c>
      <c r="D20" s="212">
        <v>38.299999999999997</v>
      </c>
      <c r="E20" s="212">
        <f t="shared" si="0"/>
        <v>18.940855078226225</v>
      </c>
      <c r="F20" s="212">
        <v>138</v>
      </c>
      <c r="G20" s="212"/>
      <c r="H20" s="212">
        <f t="shared" si="1"/>
        <v>138</v>
      </c>
      <c r="I20" s="189">
        <v>26</v>
      </c>
      <c r="J20" s="212"/>
      <c r="K20" s="212">
        <v>2</v>
      </c>
      <c r="L20" s="212"/>
      <c r="M20" s="212"/>
      <c r="N20" s="212"/>
      <c r="O20" s="267"/>
      <c r="P20" s="267">
        <v>94</v>
      </c>
      <c r="Q20" s="267">
        <v>91</v>
      </c>
      <c r="R20" s="267">
        <v>91</v>
      </c>
      <c r="S20" s="267"/>
      <c r="T20" s="268">
        <f t="shared" si="2"/>
        <v>92</v>
      </c>
      <c r="U20" s="269">
        <v>11.5</v>
      </c>
      <c r="V20" s="218">
        <f t="shared" si="15"/>
        <v>7</v>
      </c>
      <c r="W20" s="270">
        <f t="shared" si="4"/>
        <v>93.5</v>
      </c>
      <c r="X20" s="208">
        <v>266</v>
      </c>
      <c r="Y20" s="263">
        <f t="shared" si="5"/>
        <v>93.4</v>
      </c>
      <c r="Z20" s="208">
        <v>132</v>
      </c>
      <c r="AA20" s="263">
        <f t="shared" si="6"/>
        <v>93.2</v>
      </c>
      <c r="AB20" s="208">
        <v>2</v>
      </c>
      <c r="AC20" s="263">
        <f t="shared" si="7"/>
        <v>86.4</v>
      </c>
      <c r="AD20" s="208">
        <v>26</v>
      </c>
      <c r="AE20" s="208">
        <v>93.2</v>
      </c>
      <c r="AF20" s="263">
        <v>2.8</v>
      </c>
      <c r="AG20" s="208">
        <f t="shared" si="8"/>
        <v>92.8</v>
      </c>
      <c r="AH20" s="271">
        <f t="shared" si="9"/>
        <v>92.416666666666671</v>
      </c>
      <c r="AI20" s="271">
        <f t="shared" si="10"/>
        <v>91.8</v>
      </c>
      <c r="AJ20" s="263"/>
      <c r="AK20" s="218">
        <v>123.3</v>
      </c>
      <c r="AL20" s="218">
        <v>34.4</v>
      </c>
      <c r="AM20" s="279">
        <v>91</v>
      </c>
      <c r="AN20" s="279">
        <v>15</v>
      </c>
      <c r="AO20" s="384">
        <f t="shared" si="11"/>
        <v>90</v>
      </c>
      <c r="AP20" s="279">
        <v>91</v>
      </c>
      <c r="AQ20" s="279">
        <v>90</v>
      </c>
      <c r="AR20" s="281">
        <f t="shared" si="12"/>
        <v>90.5</v>
      </c>
      <c r="AS20" s="385">
        <f t="shared" si="16"/>
        <v>11</v>
      </c>
      <c r="AT20" s="315"/>
      <c r="AU20" s="315"/>
      <c r="AV20" s="315"/>
      <c r="AW20" s="315"/>
      <c r="AX20" s="315"/>
      <c r="AY20" s="315"/>
      <c r="AZ20" s="281" t="e">
        <f t="shared" si="14"/>
        <v>#DIV/0!</v>
      </c>
    </row>
    <row r="21" spans="1:52" ht="18" customHeight="1">
      <c r="A21" s="147">
        <v>19</v>
      </c>
      <c r="B21" s="135" t="str">
        <f>VLOOKUP(A21,緊急聯絡!A$2:C$27,3,0)</f>
        <v>吳羽棠</v>
      </c>
      <c r="C21" s="212">
        <v>132.6</v>
      </c>
      <c r="D21" s="212">
        <v>26.1</v>
      </c>
      <c r="E21" s="212">
        <f t="shared" si="0"/>
        <v>14.844085911426877</v>
      </c>
      <c r="F21" s="212">
        <v>150</v>
      </c>
      <c r="G21" s="212"/>
      <c r="H21" s="212">
        <f t="shared" si="1"/>
        <v>150</v>
      </c>
      <c r="I21" s="189">
        <v>28</v>
      </c>
      <c r="J21" s="212"/>
      <c r="K21" s="212">
        <v>13</v>
      </c>
      <c r="L21" s="212"/>
      <c r="M21" s="212"/>
      <c r="N21" s="212"/>
      <c r="O21" s="267"/>
      <c r="P21" s="267">
        <v>94</v>
      </c>
      <c r="Q21" s="267">
        <v>92</v>
      </c>
      <c r="R21" s="267">
        <v>90</v>
      </c>
      <c r="S21" s="267"/>
      <c r="T21" s="268">
        <f t="shared" si="2"/>
        <v>92</v>
      </c>
      <c r="U21" s="269">
        <v>11.48</v>
      </c>
      <c r="V21" s="218">
        <f t="shared" si="15"/>
        <v>6</v>
      </c>
      <c r="W21" s="270">
        <f t="shared" si="4"/>
        <v>93.52</v>
      </c>
      <c r="X21" s="208">
        <v>265</v>
      </c>
      <c r="Y21" s="263">
        <f t="shared" si="5"/>
        <v>93.5</v>
      </c>
      <c r="Z21" s="208">
        <v>120</v>
      </c>
      <c r="AA21" s="263">
        <f t="shared" si="6"/>
        <v>92</v>
      </c>
      <c r="AB21" s="208">
        <v>13</v>
      </c>
      <c r="AC21" s="263">
        <f t="shared" si="7"/>
        <v>88.6</v>
      </c>
      <c r="AD21" s="208">
        <v>28</v>
      </c>
      <c r="AE21" s="208">
        <v>93.6</v>
      </c>
      <c r="AF21" s="263">
        <v>2.8</v>
      </c>
      <c r="AG21" s="208">
        <f t="shared" si="8"/>
        <v>92.8</v>
      </c>
      <c r="AH21" s="271">
        <f t="shared" si="9"/>
        <v>92.67</v>
      </c>
      <c r="AI21" s="271">
        <f t="shared" si="10"/>
        <v>92.100000000000009</v>
      </c>
      <c r="AJ21" s="263"/>
      <c r="AK21" s="218">
        <v>129.80000000000001</v>
      </c>
      <c r="AL21" s="218">
        <v>25.4</v>
      </c>
      <c r="AM21" s="279">
        <v>92</v>
      </c>
      <c r="AN21" s="279">
        <v>11.4</v>
      </c>
      <c r="AO21" s="384">
        <f t="shared" si="11"/>
        <v>93.6</v>
      </c>
      <c r="AP21" s="279">
        <v>92</v>
      </c>
      <c r="AQ21" s="279">
        <v>92</v>
      </c>
      <c r="AR21" s="281">
        <f t="shared" si="12"/>
        <v>92.4</v>
      </c>
      <c r="AS21" s="387">
        <f t="shared" si="16"/>
        <v>1</v>
      </c>
      <c r="AT21" s="315"/>
      <c r="AU21" s="315"/>
      <c r="AV21" s="315"/>
      <c r="AW21" s="315"/>
      <c r="AX21" s="315"/>
      <c r="AY21" s="315"/>
      <c r="AZ21" s="281" t="e">
        <f t="shared" si="14"/>
        <v>#DIV/0!</v>
      </c>
    </row>
    <row r="22" spans="1:52" ht="18" customHeight="1">
      <c r="A22" s="147">
        <v>20</v>
      </c>
      <c r="B22" s="135" t="str">
        <f>VLOOKUP(A22,緊急聯絡!A$2:C$27,3,0)</f>
        <v>蔡羽媗</v>
      </c>
      <c r="C22" s="212">
        <v>141.5</v>
      </c>
      <c r="D22" s="212">
        <v>35.700000000000003</v>
      </c>
      <c r="E22" s="212">
        <f t="shared" si="0"/>
        <v>17.830163942613844</v>
      </c>
      <c r="F22" s="212">
        <v>158</v>
      </c>
      <c r="G22" s="212"/>
      <c r="H22" s="212">
        <f t="shared" si="1"/>
        <v>158</v>
      </c>
      <c r="I22" s="189">
        <v>34</v>
      </c>
      <c r="J22" s="212"/>
      <c r="K22" s="212">
        <v>16</v>
      </c>
      <c r="L22" s="212"/>
      <c r="M22" s="212"/>
      <c r="N22" s="212"/>
      <c r="O22" s="267"/>
      <c r="P22" s="267">
        <v>94</v>
      </c>
      <c r="Q22" s="267">
        <v>92</v>
      </c>
      <c r="R22" s="267">
        <v>90</v>
      </c>
      <c r="S22" s="267"/>
      <c r="T22" s="268">
        <f t="shared" si="2"/>
        <v>92</v>
      </c>
      <c r="U22" s="269">
        <v>11.26</v>
      </c>
      <c r="V22" s="218">
        <f t="shared" si="15"/>
        <v>4</v>
      </c>
      <c r="W22" s="270">
        <f t="shared" si="4"/>
        <v>93.74</v>
      </c>
      <c r="X22" s="208">
        <v>265</v>
      </c>
      <c r="Y22" s="263">
        <f t="shared" si="5"/>
        <v>93.5</v>
      </c>
      <c r="Z22" s="208">
        <v>144</v>
      </c>
      <c r="AA22" s="263">
        <f t="shared" si="6"/>
        <v>94.4</v>
      </c>
      <c r="AB22" s="208">
        <v>16</v>
      </c>
      <c r="AC22" s="263">
        <f t="shared" si="7"/>
        <v>89.2</v>
      </c>
      <c r="AD22" s="208">
        <v>34</v>
      </c>
      <c r="AE22" s="208">
        <v>94.8</v>
      </c>
      <c r="AF22" s="263">
        <v>3.8</v>
      </c>
      <c r="AG22" s="208">
        <f t="shared" si="8"/>
        <v>93.8</v>
      </c>
      <c r="AH22" s="271">
        <f t="shared" si="9"/>
        <v>93.339999999999989</v>
      </c>
      <c r="AI22" s="271">
        <f t="shared" si="10"/>
        <v>93.140000000000015</v>
      </c>
      <c r="AJ22" s="263"/>
      <c r="AK22" s="218">
        <v>127.5</v>
      </c>
      <c r="AL22" s="218">
        <v>30.1</v>
      </c>
      <c r="AM22" s="279">
        <v>92</v>
      </c>
      <c r="AN22" s="279">
        <v>12.5</v>
      </c>
      <c r="AO22" s="384">
        <f t="shared" si="11"/>
        <v>92.5</v>
      </c>
      <c r="AP22" s="279">
        <v>92</v>
      </c>
      <c r="AQ22" s="279">
        <v>93</v>
      </c>
      <c r="AR22" s="281">
        <f t="shared" si="12"/>
        <v>92.375</v>
      </c>
      <c r="AS22" s="386">
        <f t="shared" si="16"/>
        <v>7</v>
      </c>
      <c r="AT22" s="315"/>
      <c r="AU22" s="315"/>
      <c r="AV22" s="315"/>
      <c r="AW22" s="315"/>
      <c r="AX22" s="315"/>
      <c r="AY22" s="315"/>
      <c r="AZ22" s="281" t="e">
        <f t="shared" si="14"/>
        <v>#DIV/0!</v>
      </c>
    </row>
    <row r="23" spans="1:52" ht="18" customHeight="1">
      <c r="A23" s="147">
        <v>21</v>
      </c>
      <c r="B23" s="135" t="str">
        <f>VLOOKUP(A23,緊急聯絡!A$2:C$27,3,0)</f>
        <v>楊筱歆</v>
      </c>
      <c r="C23" s="212">
        <v>128.19999999999999</v>
      </c>
      <c r="D23" s="212">
        <v>29.6</v>
      </c>
      <c r="E23" s="212">
        <f t="shared" si="0"/>
        <v>18.010080777646088</v>
      </c>
      <c r="F23" s="212">
        <v>163</v>
      </c>
      <c r="G23" s="212"/>
      <c r="H23" s="212">
        <f t="shared" si="1"/>
        <v>163</v>
      </c>
      <c r="I23" s="189">
        <v>34</v>
      </c>
      <c r="J23" s="212"/>
      <c r="K23" s="212">
        <v>36</v>
      </c>
      <c r="L23" s="212"/>
      <c r="M23" s="212"/>
      <c r="N23" s="212"/>
      <c r="O23" s="267"/>
      <c r="P23" s="267">
        <v>96</v>
      </c>
      <c r="Q23" s="267">
        <v>96</v>
      </c>
      <c r="R23" s="267">
        <v>93</v>
      </c>
      <c r="S23" s="267"/>
      <c r="T23" s="268">
        <f t="shared" si="2"/>
        <v>95</v>
      </c>
      <c r="U23" s="269">
        <v>12.09</v>
      </c>
      <c r="V23" s="218">
        <f t="shared" si="15"/>
        <v>8</v>
      </c>
      <c r="W23" s="270">
        <f t="shared" si="4"/>
        <v>92.91</v>
      </c>
      <c r="X23" s="208">
        <v>250</v>
      </c>
      <c r="Y23" s="263">
        <f t="shared" si="5"/>
        <v>95</v>
      </c>
      <c r="Z23" s="208">
        <v>141</v>
      </c>
      <c r="AA23" s="263">
        <f t="shared" si="6"/>
        <v>94.1</v>
      </c>
      <c r="AB23" s="208">
        <v>36</v>
      </c>
      <c r="AC23" s="263">
        <f t="shared" si="7"/>
        <v>93.2</v>
      </c>
      <c r="AD23" s="208">
        <v>34</v>
      </c>
      <c r="AE23" s="208">
        <v>94.8</v>
      </c>
      <c r="AF23" s="263">
        <v>2</v>
      </c>
      <c r="AG23" s="208">
        <f t="shared" si="8"/>
        <v>92</v>
      </c>
      <c r="AH23" s="271">
        <f t="shared" si="9"/>
        <v>93.868333333333339</v>
      </c>
      <c r="AI23" s="271">
        <f t="shared" si="10"/>
        <v>93.820000000000007</v>
      </c>
      <c r="AJ23" s="263"/>
      <c r="AK23" s="218">
        <v>125.5</v>
      </c>
      <c r="AL23" s="218">
        <v>24.8</v>
      </c>
      <c r="AM23" s="279">
        <v>92</v>
      </c>
      <c r="AN23" s="279">
        <v>12.8</v>
      </c>
      <c r="AO23" s="384">
        <f t="shared" si="11"/>
        <v>92.2</v>
      </c>
      <c r="AP23" s="279">
        <v>92</v>
      </c>
      <c r="AQ23" s="279">
        <v>92</v>
      </c>
      <c r="AR23" s="281">
        <f t="shared" si="12"/>
        <v>92.05</v>
      </c>
      <c r="AS23" s="386">
        <f t="shared" si="16"/>
        <v>9</v>
      </c>
      <c r="AT23" s="315"/>
      <c r="AU23" s="315"/>
      <c r="AV23" s="315"/>
      <c r="AW23" s="315"/>
      <c r="AX23" s="315"/>
      <c r="AY23" s="315"/>
      <c r="AZ23" s="281" t="e">
        <f t="shared" si="14"/>
        <v>#DIV/0!</v>
      </c>
    </row>
    <row r="24" spans="1:52" ht="18" customHeight="1">
      <c r="A24" s="147">
        <v>22</v>
      </c>
      <c r="B24" s="135" t="str">
        <f>VLOOKUP(A24,緊急聯絡!A$2:C$27,3,0)</f>
        <v>邱詩涵</v>
      </c>
      <c r="C24" s="212">
        <v>128.80000000000001</v>
      </c>
      <c r="D24" s="212">
        <v>30.1</v>
      </c>
      <c r="E24" s="212">
        <f t="shared" si="0"/>
        <v>18.144072373751008</v>
      </c>
      <c r="F24" s="212">
        <v>142</v>
      </c>
      <c r="G24" s="212" t="s">
        <v>460</v>
      </c>
      <c r="H24" s="212">
        <f t="shared" si="1"/>
        <v>142</v>
      </c>
      <c r="I24" s="189">
        <v>32</v>
      </c>
      <c r="J24" s="212"/>
      <c r="K24" s="212">
        <v>40</v>
      </c>
      <c r="L24" s="212"/>
      <c r="M24" s="212"/>
      <c r="N24" s="212"/>
      <c r="O24" s="267"/>
      <c r="P24" s="267">
        <v>96</v>
      </c>
      <c r="Q24" s="267">
        <v>95</v>
      </c>
      <c r="R24" s="267">
        <v>92</v>
      </c>
      <c r="S24" s="267"/>
      <c r="T24" s="268">
        <f t="shared" si="2"/>
        <v>94.333333333333329</v>
      </c>
      <c r="U24" s="269">
        <v>12.33</v>
      </c>
      <c r="V24" s="218">
        <f t="shared" si="15"/>
        <v>9</v>
      </c>
      <c r="W24" s="270">
        <f t="shared" si="4"/>
        <v>92.67</v>
      </c>
      <c r="X24" s="208">
        <v>275</v>
      </c>
      <c r="Y24" s="263">
        <f t="shared" si="5"/>
        <v>92.5</v>
      </c>
      <c r="Z24" s="208">
        <v>129</v>
      </c>
      <c r="AA24" s="263">
        <f t="shared" si="6"/>
        <v>92.9</v>
      </c>
      <c r="AB24" s="208">
        <v>40</v>
      </c>
      <c r="AC24" s="263">
        <f t="shared" si="7"/>
        <v>94</v>
      </c>
      <c r="AD24" s="208">
        <v>32</v>
      </c>
      <c r="AE24" s="208">
        <v>94.4</v>
      </c>
      <c r="AF24" s="263">
        <v>2</v>
      </c>
      <c r="AG24" s="208">
        <f t="shared" si="8"/>
        <v>92</v>
      </c>
      <c r="AH24" s="271">
        <f t="shared" si="9"/>
        <v>93.745000000000005</v>
      </c>
      <c r="AI24" s="271">
        <f t="shared" si="10"/>
        <v>93.16</v>
      </c>
      <c r="AJ24" s="263"/>
      <c r="AK24" s="218">
        <v>135.1</v>
      </c>
      <c r="AL24" s="218">
        <v>27.9</v>
      </c>
      <c r="AM24" s="279">
        <v>90</v>
      </c>
      <c r="AN24" s="279">
        <v>12.5</v>
      </c>
      <c r="AO24" s="384">
        <f t="shared" si="11"/>
        <v>92.5</v>
      </c>
      <c r="AP24" s="279">
        <v>90</v>
      </c>
      <c r="AQ24" s="279">
        <v>90</v>
      </c>
      <c r="AR24" s="281">
        <f t="shared" si="12"/>
        <v>90.625</v>
      </c>
      <c r="AS24" s="386">
        <f t="shared" si="16"/>
        <v>7</v>
      </c>
      <c r="AT24" s="315"/>
      <c r="AU24" s="315"/>
      <c r="AV24" s="315"/>
      <c r="AW24" s="315"/>
      <c r="AX24" s="315"/>
      <c r="AY24" s="315"/>
      <c r="AZ24" s="281" t="e">
        <f t="shared" si="14"/>
        <v>#DIV/0!</v>
      </c>
    </row>
    <row r="25" spans="1:52" ht="18" customHeight="1">
      <c r="A25" s="147">
        <v>23</v>
      </c>
      <c r="B25" s="135" t="str">
        <f>VLOOKUP(A25,緊急聯絡!A$2:C$27,3,0)</f>
        <v>張涵甯</v>
      </c>
      <c r="C25" s="212">
        <v>133.19999999999999</v>
      </c>
      <c r="D25" s="212">
        <v>25.5</v>
      </c>
      <c r="E25" s="212">
        <f t="shared" si="0"/>
        <v>14.372480588696806</v>
      </c>
      <c r="F25" s="212">
        <v>150</v>
      </c>
      <c r="G25" s="212"/>
      <c r="H25" s="212">
        <f t="shared" si="1"/>
        <v>150</v>
      </c>
      <c r="I25" s="189">
        <v>26</v>
      </c>
      <c r="J25" s="212"/>
      <c r="K25" s="212"/>
      <c r="L25" s="212"/>
      <c r="M25" s="212"/>
      <c r="N25" s="212"/>
      <c r="O25" s="267"/>
      <c r="P25" s="267">
        <v>95</v>
      </c>
      <c r="Q25" s="267">
        <v>92</v>
      </c>
      <c r="R25" s="267">
        <v>91</v>
      </c>
      <c r="S25" s="267"/>
      <c r="T25" s="268">
        <f t="shared" si="2"/>
        <v>92.666666666666671</v>
      </c>
      <c r="U25" s="269">
        <v>12.67</v>
      </c>
      <c r="V25" s="218">
        <f t="shared" si="15"/>
        <v>11</v>
      </c>
      <c r="W25" s="270">
        <f t="shared" si="4"/>
        <v>92.33</v>
      </c>
      <c r="X25" s="208">
        <v>265</v>
      </c>
      <c r="Y25" s="263">
        <f t="shared" si="5"/>
        <v>93.5</v>
      </c>
      <c r="Z25" s="208">
        <v>100</v>
      </c>
      <c r="AA25" s="263">
        <f t="shared" si="6"/>
        <v>90</v>
      </c>
      <c r="AB25" s="208">
        <v>2</v>
      </c>
      <c r="AC25" s="263">
        <f t="shared" si="7"/>
        <v>86.4</v>
      </c>
      <c r="AD25" s="208">
        <v>26</v>
      </c>
      <c r="AE25" s="208">
        <v>93.2</v>
      </c>
      <c r="AF25" s="263">
        <v>4.8</v>
      </c>
      <c r="AG25" s="208">
        <f t="shared" si="8"/>
        <v>94.8</v>
      </c>
      <c r="AH25" s="271">
        <f t="shared" si="9"/>
        <v>91.305000000000007</v>
      </c>
      <c r="AI25" s="271">
        <f t="shared" si="10"/>
        <v>91.58</v>
      </c>
      <c r="AJ25" s="263"/>
      <c r="AK25" s="218">
        <v>133.19999999999999</v>
      </c>
      <c r="AL25" s="218">
        <v>34.1</v>
      </c>
      <c r="AM25" s="279">
        <v>90</v>
      </c>
      <c r="AN25" s="279">
        <v>12.3</v>
      </c>
      <c r="AO25" s="384">
        <f t="shared" si="11"/>
        <v>92.7</v>
      </c>
      <c r="AP25" s="279">
        <v>91</v>
      </c>
      <c r="AQ25" s="279">
        <v>90</v>
      </c>
      <c r="AR25" s="281">
        <f t="shared" si="12"/>
        <v>90.924999999999997</v>
      </c>
      <c r="AS25" s="387">
        <f t="shared" si="16"/>
        <v>4</v>
      </c>
      <c r="AT25" s="315"/>
      <c r="AU25" s="315"/>
      <c r="AV25" s="315"/>
      <c r="AW25" s="315"/>
      <c r="AX25" s="315"/>
      <c r="AY25" s="315"/>
      <c r="AZ25" s="281" t="e">
        <f t="shared" si="14"/>
        <v>#DIV/0!</v>
      </c>
    </row>
    <row r="26" spans="1:52" ht="18" customHeight="1">
      <c r="A26" s="147">
        <v>24</v>
      </c>
      <c r="B26" s="135" t="str">
        <f>VLOOKUP(A26,緊急聯絡!A$2:C$27,3,0)</f>
        <v>王姿涵</v>
      </c>
      <c r="C26" s="212">
        <v>124.5</v>
      </c>
      <c r="D26" s="212">
        <v>20.6</v>
      </c>
      <c r="E26" s="212">
        <f t="shared" si="0"/>
        <v>13.290108224060903</v>
      </c>
      <c r="F26" s="212">
        <v>158</v>
      </c>
      <c r="G26" s="212"/>
      <c r="H26" s="212">
        <f t="shared" si="1"/>
        <v>158</v>
      </c>
      <c r="I26" s="189">
        <v>40</v>
      </c>
      <c r="J26" s="212"/>
      <c r="K26" s="212">
        <v>17</v>
      </c>
      <c r="L26" s="212"/>
      <c r="M26" s="212"/>
      <c r="N26" s="212"/>
      <c r="O26" s="267"/>
      <c r="P26" s="267">
        <v>94</v>
      </c>
      <c r="Q26" s="267">
        <v>92</v>
      </c>
      <c r="R26" s="267">
        <v>91</v>
      </c>
      <c r="S26" s="267"/>
      <c r="T26" s="268">
        <f t="shared" si="2"/>
        <v>92.333333333333329</v>
      </c>
      <c r="U26" s="269">
        <v>13.32</v>
      </c>
      <c r="V26" s="218">
        <f t="shared" si="15"/>
        <v>14</v>
      </c>
      <c r="W26" s="270">
        <f t="shared" si="4"/>
        <v>91.68</v>
      </c>
      <c r="X26" s="208">
        <v>265</v>
      </c>
      <c r="Y26" s="263">
        <f t="shared" si="5"/>
        <v>93.5</v>
      </c>
      <c r="Z26" s="208">
        <v>117</v>
      </c>
      <c r="AA26" s="263">
        <f t="shared" si="6"/>
        <v>91.7</v>
      </c>
      <c r="AB26" s="208">
        <v>17</v>
      </c>
      <c r="AC26" s="263">
        <f t="shared" si="7"/>
        <v>89.4</v>
      </c>
      <c r="AD26" s="208">
        <v>40</v>
      </c>
      <c r="AE26" s="208">
        <v>96</v>
      </c>
      <c r="AF26" s="263">
        <v>1.2</v>
      </c>
      <c r="AG26" s="208">
        <f t="shared" si="8"/>
        <v>91.2</v>
      </c>
      <c r="AH26" s="271">
        <f t="shared" si="9"/>
        <v>92.713333333333324</v>
      </c>
      <c r="AI26" s="271">
        <f t="shared" si="10"/>
        <v>92.36</v>
      </c>
      <c r="AJ26" s="263"/>
      <c r="AK26" s="218">
        <v>127.3</v>
      </c>
      <c r="AL26" s="218">
        <v>33.4</v>
      </c>
      <c r="AM26" s="279">
        <v>91</v>
      </c>
      <c r="AN26" s="279">
        <v>12.4</v>
      </c>
      <c r="AO26" s="384">
        <f t="shared" si="11"/>
        <v>92.6</v>
      </c>
      <c r="AP26" s="279">
        <v>91</v>
      </c>
      <c r="AQ26" s="279">
        <v>93</v>
      </c>
      <c r="AR26" s="281">
        <f t="shared" si="12"/>
        <v>91.9</v>
      </c>
      <c r="AS26" s="386">
        <f t="shared" si="16"/>
        <v>5</v>
      </c>
      <c r="AT26" s="315"/>
      <c r="AU26" s="315"/>
      <c r="AV26" s="315"/>
      <c r="AW26" s="315"/>
      <c r="AX26" s="315"/>
      <c r="AY26" s="315"/>
      <c r="AZ26" s="281" t="e">
        <f t="shared" si="14"/>
        <v>#DIV/0!</v>
      </c>
    </row>
    <row r="27" spans="1:52" ht="18" customHeight="1">
      <c r="A27" s="147">
        <v>25</v>
      </c>
      <c r="B27" s="135" t="str">
        <f>VLOOKUP(A27,緊急聯絡!A$2:C$27,3,0)</f>
        <v>林昱萱</v>
      </c>
      <c r="C27" s="212">
        <v>138.5</v>
      </c>
      <c r="D27" s="212">
        <v>29.8</v>
      </c>
      <c r="E27" s="212">
        <f t="shared" si="0"/>
        <v>15.535195297736189</v>
      </c>
      <c r="F27" s="212">
        <v>160</v>
      </c>
      <c r="G27" s="212"/>
      <c r="H27" s="212">
        <f t="shared" si="1"/>
        <v>160</v>
      </c>
      <c r="I27" s="189">
        <v>22</v>
      </c>
      <c r="J27" s="212"/>
      <c r="K27" s="212">
        <v>5</v>
      </c>
      <c r="L27" s="212"/>
      <c r="M27" s="212"/>
      <c r="N27" s="212"/>
      <c r="O27" s="267"/>
      <c r="P27" s="267">
        <v>94</v>
      </c>
      <c r="Q27" s="267">
        <v>92</v>
      </c>
      <c r="R27" s="267">
        <v>90</v>
      </c>
      <c r="S27" s="267"/>
      <c r="T27" s="268">
        <f t="shared" si="2"/>
        <v>92</v>
      </c>
      <c r="U27" s="269">
        <v>13.45</v>
      </c>
      <c r="V27" s="218">
        <f t="shared" si="15"/>
        <v>15</v>
      </c>
      <c r="W27" s="270">
        <f t="shared" si="4"/>
        <v>91.55</v>
      </c>
      <c r="X27" s="208">
        <v>287</v>
      </c>
      <c r="Y27" s="263">
        <f t="shared" si="5"/>
        <v>91.3</v>
      </c>
      <c r="Z27" s="208">
        <v>138</v>
      </c>
      <c r="AA27" s="263">
        <f t="shared" si="6"/>
        <v>93.8</v>
      </c>
      <c r="AB27" s="208">
        <v>5</v>
      </c>
      <c r="AC27" s="263">
        <f t="shared" si="7"/>
        <v>87</v>
      </c>
      <c r="AD27" s="208">
        <v>22</v>
      </c>
      <c r="AE27" s="208">
        <v>92.4</v>
      </c>
      <c r="AF27" s="263">
        <v>1.8</v>
      </c>
      <c r="AG27" s="208">
        <f t="shared" si="8"/>
        <v>91.8</v>
      </c>
      <c r="AH27" s="271">
        <f t="shared" si="9"/>
        <v>92.041666666666671</v>
      </c>
      <c r="AI27" s="271">
        <f t="shared" si="10"/>
        <v>91.26</v>
      </c>
      <c r="AJ27" s="263"/>
      <c r="AK27" s="218">
        <v>133.6</v>
      </c>
      <c r="AL27" s="218">
        <v>33.9</v>
      </c>
      <c r="AM27" s="279">
        <v>91</v>
      </c>
      <c r="AN27" s="279">
        <v>12.9</v>
      </c>
      <c r="AO27" s="384">
        <f t="shared" si="11"/>
        <v>92.1</v>
      </c>
      <c r="AP27" s="279">
        <v>91</v>
      </c>
      <c r="AQ27" s="279">
        <v>91</v>
      </c>
      <c r="AR27" s="281">
        <f t="shared" si="12"/>
        <v>91.275000000000006</v>
      </c>
      <c r="AS27" s="386">
        <f t="shared" si="16"/>
        <v>10</v>
      </c>
      <c r="AT27" s="315"/>
      <c r="AU27" s="315"/>
      <c r="AV27" s="315"/>
      <c r="AW27" s="315"/>
      <c r="AX27" s="315"/>
      <c r="AY27" s="315"/>
      <c r="AZ27" s="281" t="e">
        <f t="shared" si="14"/>
        <v>#DIV/0!</v>
      </c>
    </row>
    <row r="28" spans="1:52" ht="18" customHeight="1">
      <c r="A28" s="147">
        <v>26</v>
      </c>
      <c r="B28" s="135" t="str">
        <f>VLOOKUP(A28,緊急聯絡!A$2:C$27,3,0)</f>
        <v>李文</v>
      </c>
      <c r="C28" s="212">
        <v>135.1</v>
      </c>
      <c r="D28" s="212">
        <v>27.8</v>
      </c>
      <c r="E28" s="212">
        <f t="shared" si="0"/>
        <v>15.23119919395179</v>
      </c>
      <c r="F28" s="212">
        <v>165</v>
      </c>
      <c r="G28" s="212"/>
      <c r="H28" s="212">
        <f t="shared" si="1"/>
        <v>165</v>
      </c>
      <c r="I28" s="189">
        <v>30</v>
      </c>
      <c r="J28" s="212"/>
      <c r="K28" s="212">
        <v>30</v>
      </c>
      <c r="L28" s="212"/>
      <c r="M28" s="212"/>
      <c r="N28" s="212"/>
      <c r="O28" s="267"/>
      <c r="P28" s="267">
        <v>94</v>
      </c>
      <c r="Q28" s="267">
        <v>92</v>
      </c>
      <c r="R28" s="267">
        <v>90</v>
      </c>
      <c r="S28" s="267"/>
      <c r="T28" s="268">
        <f t="shared" si="2"/>
        <v>92</v>
      </c>
      <c r="U28" s="269">
        <v>12.55</v>
      </c>
      <c r="V28" s="218">
        <f t="shared" si="15"/>
        <v>10</v>
      </c>
      <c r="W28" s="270">
        <f t="shared" si="4"/>
        <v>92.45</v>
      </c>
      <c r="X28" s="208">
        <v>266</v>
      </c>
      <c r="Y28" s="263">
        <f t="shared" si="5"/>
        <v>93.4</v>
      </c>
      <c r="Z28" s="208">
        <v>120</v>
      </c>
      <c r="AA28" s="263">
        <f t="shared" si="6"/>
        <v>92</v>
      </c>
      <c r="AB28" s="208">
        <v>30</v>
      </c>
      <c r="AC28" s="263">
        <f t="shared" si="7"/>
        <v>92</v>
      </c>
      <c r="AD28" s="208">
        <v>30</v>
      </c>
      <c r="AE28" s="208">
        <v>94</v>
      </c>
      <c r="AF28" s="263">
        <v>2.4</v>
      </c>
      <c r="AG28" s="208">
        <f t="shared" si="8"/>
        <v>92.4</v>
      </c>
      <c r="AH28" s="271">
        <f t="shared" si="9"/>
        <v>92.77000000000001</v>
      </c>
      <c r="AI28" s="271">
        <f t="shared" si="10"/>
        <v>92.759999999999991</v>
      </c>
      <c r="AJ28" s="263"/>
      <c r="AK28" s="218">
        <v>126.9</v>
      </c>
      <c r="AL28" s="218">
        <v>26.6</v>
      </c>
      <c r="AM28" s="279">
        <v>89</v>
      </c>
      <c r="AN28" s="279">
        <v>15</v>
      </c>
      <c r="AO28" s="384">
        <f t="shared" si="11"/>
        <v>90</v>
      </c>
      <c r="AP28" s="279">
        <v>90</v>
      </c>
      <c r="AQ28" s="279">
        <v>88</v>
      </c>
      <c r="AR28" s="281">
        <f t="shared" si="12"/>
        <v>89.25</v>
      </c>
      <c r="AS28" s="385">
        <f t="shared" si="16"/>
        <v>11</v>
      </c>
      <c r="AT28" s="315"/>
      <c r="AU28" s="315"/>
      <c r="AV28" s="315"/>
      <c r="AW28" s="315"/>
      <c r="AX28" s="315"/>
      <c r="AY28" s="315"/>
      <c r="AZ28" s="281" t="e">
        <f t="shared" si="14"/>
        <v>#DIV/0!</v>
      </c>
    </row>
    <row r="29" spans="1:52" ht="18" customHeight="1">
      <c r="A29" s="217">
        <v>29</v>
      </c>
      <c r="B29" s="212"/>
      <c r="C29" s="212">
        <v>127.1</v>
      </c>
      <c r="D29" s="212">
        <v>23.7</v>
      </c>
      <c r="E29" s="212">
        <f t="shared" si="0"/>
        <v>14.670916486581683</v>
      </c>
      <c r="F29" s="212">
        <v>147</v>
      </c>
      <c r="G29" s="212"/>
      <c r="H29" s="212">
        <f t="shared" si="1"/>
        <v>147</v>
      </c>
      <c r="I29" s="189">
        <v>41</v>
      </c>
      <c r="J29" s="212"/>
      <c r="K29" s="212">
        <v>11</v>
      </c>
      <c r="L29" s="212"/>
      <c r="M29" s="212"/>
      <c r="N29" s="212"/>
      <c r="O29" s="267"/>
      <c r="P29" s="267">
        <v>94</v>
      </c>
      <c r="Q29" s="267">
        <v>92</v>
      </c>
      <c r="R29" s="267">
        <v>90</v>
      </c>
      <c r="S29" s="267"/>
      <c r="T29" s="268">
        <f t="shared" si="2"/>
        <v>92</v>
      </c>
      <c r="U29" s="269">
        <v>13.3</v>
      </c>
      <c r="V29" s="218">
        <f t="shared" si="15"/>
        <v>13</v>
      </c>
      <c r="W29" s="270">
        <f t="shared" si="4"/>
        <v>91.7</v>
      </c>
      <c r="X29" s="208">
        <v>297</v>
      </c>
      <c r="Y29" s="263">
        <f t="shared" si="5"/>
        <v>90.3</v>
      </c>
      <c r="Z29" s="208">
        <v>130</v>
      </c>
      <c r="AA29" s="263">
        <f t="shared" si="6"/>
        <v>93</v>
      </c>
      <c r="AB29" s="208">
        <v>11</v>
      </c>
      <c r="AC29" s="263">
        <f t="shared" si="7"/>
        <v>88.2</v>
      </c>
      <c r="AD29" s="208">
        <v>41</v>
      </c>
      <c r="AE29" s="208">
        <v>96.2</v>
      </c>
      <c r="AF29" s="263">
        <v>1</v>
      </c>
      <c r="AG29" s="208">
        <f t="shared" si="8"/>
        <v>91</v>
      </c>
      <c r="AH29" s="271">
        <f t="shared" si="9"/>
        <v>91.88</v>
      </c>
      <c r="AI29" s="271">
        <f t="shared" si="10"/>
        <v>91.74</v>
      </c>
      <c r="AJ29" s="263"/>
      <c r="AK29" s="218"/>
      <c r="AL29" s="218"/>
      <c r="AM29" s="279"/>
      <c r="AN29" s="279"/>
      <c r="AO29" s="279"/>
      <c r="AP29" s="279"/>
      <c r="AQ29" s="279"/>
      <c r="AR29" s="281"/>
      <c r="AS29" s="315"/>
      <c r="AT29" s="315"/>
      <c r="AU29" s="315"/>
      <c r="AV29" s="315"/>
      <c r="AW29" s="315"/>
      <c r="AX29" s="315"/>
      <c r="AY29" s="315"/>
      <c r="AZ29" s="281" t="e">
        <f t="shared" si="14"/>
        <v>#DIV/0!</v>
      </c>
    </row>
    <row r="30" spans="1:52">
      <c r="A30" s="217">
        <v>30</v>
      </c>
      <c r="B30" s="212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18"/>
      <c r="V30" s="218"/>
      <c r="W30" s="263"/>
      <c r="X30" s="272"/>
      <c r="Y30" s="263"/>
      <c r="Z30" s="263"/>
      <c r="AA30" s="263"/>
      <c r="AB30" s="263"/>
      <c r="AC30" s="263"/>
      <c r="AD30" s="263"/>
      <c r="AE30" s="263"/>
      <c r="AF30" s="263"/>
      <c r="AG30" s="263"/>
      <c r="AH30" s="218"/>
      <c r="AI30" s="263"/>
      <c r="AJ30" s="263"/>
      <c r="AK30" s="218"/>
      <c r="AL30" s="218"/>
      <c r="AM30" s="279"/>
      <c r="AN30" s="279"/>
      <c r="AO30" s="279"/>
      <c r="AP30" s="279"/>
      <c r="AQ30" s="279"/>
      <c r="AR30" s="281"/>
      <c r="AS30" s="315"/>
      <c r="AT30" s="315"/>
      <c r="AU30" s="315"/>
      <c r="AV30" s="315"/>
      <c r="AW30" s="315"/>
      <c r="AX30" s="315"/>
      <c r="AY30" s="315"/>
      <c r="AZ30" s="281" t="e">
        <f t="shared" si="14"/>
        <v>#DIV/0!</v>
      </c>
    </row>
  </sheetData>
  <mergeCells count="7">
    <mergeCell ref="AN2:AO2"/>
    <mergeCell ref="A1:B1"/>
    <mergeCell ref="G1:H1"/>
    <mergeCell ref="I1:J1"/>
    <mergeCell ref="M2:N2"/>
    <mergeCell ref="M1:N1"/>
    <mergeCell ref="K1:L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31"/>
  <sheetViews>
    <sheetView workbookViewId="0">
      <selection activeCell="H12" sqref="H12"/>
    </sheetView>
  </sheetViews>
  <sheetFormatPr defaultRowHeight="16.5"/>
  <cols>
    <col min="1" max="1" width="5" customWidth="1"/>
    <col min="2" max="2" width="7.625" customWidth="1"/>
    <col min="3" max="3" width="4.75" style="378" customWidth="1"/>
    <col min="4" max="18" width="4.75" customWidth="1"/>
    <col min="19" max="19" width="4.75" style="78" customWidth="1"/>
    <col min="20" max="21" width="4.75" customWidth="1"/>
    <col min="22" max="23" width="4.75" style="78" customWidth="1"/>
    <col min="24" max="31" width="4.75" customWidth="1"/>
    <col min="32" max="40" width="4.75" style="78" customWidth="1"/>
    <col min="41" max="41" width="9" style="145"/>
  </cols>
  <sheetData>
    <row r="1" spans="1:41" ht="18" thickTop="1" thickBot="1">
      <c r="A1" s="515">
        <v>303</v>
      </c>
      <c r="B1" s="516"/>
      <c r="C1" s="298">
        <v>44098</v>
      </c>
      <c r="D1" s="299"/>
      <c r="E1" s="299"/>
      <c r="F1" s="299"/>
      <c r="G1" s="300"/>
      <c r="H1" s="300"/>
      <c r="I1" s="300"/>
      <c r="J1" s="300"/>
      <c r="K1" s="300"/>
      <c r="L1" s="299"/>
      <c r="M1" s="300"/>
      <c r="N1" s="300"/>
      <c r="O1" s="300"/>
      <c r="P1" s="300"/>
      <c r="Q1" s="300"/>
      <c r="R1" s="301"/>
      <c r="S1" s="517">
        <v>43402</v>
      </c>
      <c r="T1" s="518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2"/>
      <c r="AF1" s="11" t="s">
        <v>424</v>
      </c>
      <c r="AG1" s="11"/>
      <c r="AH1" s="11"/>
      <c r="AI1" s="11"/>
      <c r="AJ1" s="11"/>
      <c r="AK1" s="11"/>
      <c r="AL1" s="11"/>
      <c r="AM1" s="11"/>
      <c r="AN1" s="12"/>
      <c r="AO1" s="145">
        <v>403</v>
      </c>
    </row>
    <row r="2" spans="1:41" ht="17.25" thickTop="1">
      <c r="A2" s="303" t="s">
        <v>102</v>
      </c>
      <c r="B2" s="304" t="s">
        <v>0</v>
      </c>
      <c r="C2" s="380" t="s">
        <v>981</v>
      </c>
      <c r="D2" s="306" t="s">
        <v>982</v>
      </c>
      <c r="E2" s="306" t="s">
        <v>983</v>
      </c>
      <c r="F2" s="306" t="s">
        <v>984</v>
      </c>
      <c r="G2" s="306" t="s">
        <v>985</v>
      </c>
      <c r="H2" s="306" t="s">
        <v>986</v>
      </c>
      <c r="I2" s="306" t="s">
        <v>987</v>
      </c>
      <c r="J2" s="306" t="s">
        <v>988</v>
      </c>
      <c r="K2" s="306" t="s">
        <v>989</v>
      </c>
      <c r="L2" s="306"/>
      <c r="M2" s="306"/>
      <c r="N2" s="306"/>
      <c r="O2" s="306"/>
      <c r="P2" s="306"/>
      <c r="Q2" s="306"/>
      <c r="R2" s="306"/>
      <c r="S2" s="21" t="s">
        <v>305</v>
      </c>
      <c r="T2" s="11" t="s">
        <v>301</v>
      </c>
      <c r="U2" s="11"/>
      <c r="V2" s="11"/>
      <c r="W2" s="11" t="s">
        <v>369</v>
      </c>
      <c r="X2" s="11" t="s">
        <v>361</v>
      </c>
      <c r="Y2" s="11" t="s">
        <v>362</v>
      </c>
      <c r="Z2" s="11" t="s">
        <v>363</v>
      </c>
      <c r="AA2" s="11" t="s">
        <v>364</v>
      </c>
      <c r="AB2" s="11" t="s">
        <v>365</v>
      </c>
      <c r="AC2" s="11" t="s">
        <v>366</v>
      </c>
      <c r="AD2" s="11" t="s">
        <v>367</v>
      </c>
      <c r="AE2" s="12" t="s">
        <v>368</v>
      </c>
      <c r="AF2" s="110" t="s">
        <v>369</v>
      </c>
      <c r="AG2" s="15" t="s">
        <v>361</v>
      </c>
      <c r="AH2" s="15" t="s">
        <v>362</v>
      </c>
      <c r="AI2" s="15" t="s">
        <v>363</v>
      </c>
      <c r="AJ2" s="15" t="s">
        <v>364</v>
      </c>
      <c r="AK2" s="15" t="s">
        <v>365</v>
      </c>
      <c r="AL2" s="15" t="s">
        <v>366</v>
      </c>
      <c r="AM2" s="15" t="s">
        <v>367</v>
      </c>
      <c r="AN2" s="16" t="s">
        <v>368</v>
      </c>
      <c r="AO2" s="105">
        <v>43743</v>
      </c>
    </row>
    <row r="3" spans="1:41" ht="18" customHeight="1">
      <c r="A3" s="147">
        <v>1</v>
      </c>
      <c r="B3" s="135" t="str">
        <f>VLOOKUP(A3,緊急聯絡!A$2:C$27,3,0)</f>
        <v>陳威劭</v>
      </c>
      <c r="C3" s="307">
        <v>100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8"/>
      <c r="S3" s="308">
        <v>98</v>
      </c>
      <c r="T3" s="308">
        <v>95</v>
      </c>
      <c r="U3" s="308">
        <f>AVERAGE(L3:T3)</f>
        <v>96.5</v>
      </c>
      <c r="V3" s="308">
        <v>93</v>
      </c>
      <c r="W3" s="308">
        <v>2</v>
      </c>
      <c r="X3" s="308">
        <v>92</v>
      </c>
      <c r="Y3" s="308">
        <v>93</v>
      </c>
      <c r="Z3" s="308">
        <v>90</v>
      </c>
      <c r="AA3" s="308">
        <v>90</v>
      </c>
      <c r="AB3" s="308">
        <v>95</v>
      </c>
      <c r="AC3" s="308">
        <v>90</v>
      </c>
      <c r="AD3" s="308">
        <v>85</v>
      </c>
      <c r="AE3" s="309">
        <f>AVERAGE(V3,X3:AD3)+W3</f>
        <v>93</v>
      </c>
      <c r="AF3" s="110">
        <v>2</v>
      </c>
      <c r="AG3" s="15">
        <v>89</v>
      </c>
      <c r="AH3" s="15">
        <v>97</v>
      </c>
      <c r="AI3" s="15">
        <v>90</v>
      </c>
      <c r="AJ3" s="15">
        <v>90</v>
      </c>
      <c r="AK3" s="15">
        <v>95</v>
      </c>
      <c r="AL3" s="15">
        <v>87</v>
      </c>
      <c r="AM3" s="15">
        <v>85</v>
      </c>
      <c r="AN3" s="16">
        <f>AVERAGE(AG3:AM3)</f>
        <v>90.428571428571431</v>
      </c>
      <c r="AO3" s="145">
        <v>91</v>
      </c>
    </row>
    <row r="4" spans="1:41" ht="18" customHeight="1">
      <c r="A4" s="147">
        <v>2</v>
      </c>
      <c r="B4" s="135" t="str">
        <f>VLOOKUP(A4,緊急聯絡!A$2:C$27,3,0)</f>
        <v>周宗慶</v>
      </c>
      <c r="C4" s="307">
        <v>100</v>
      </c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8"/>
      <c r="S4" s="308">
        <v>98</v>
      </c>
      <c r="T4" s="308">
        <v>97</v>
      </c>
      <c r="U4" s="308">
        <f t="shared" ref="U4:U29" si="0">AVERAGE(L4:T4)</f>
        <v>97.5</v>
      </c>
      <c r="V4" s="308">
        <v>94</v>
      </c>
      <c r="W4" s="308">
        <v>2</v>
      </c>
      <c r="X4" s="308">
        <v>97</v>
      </c>
      <c r="Y4" s="308">
        <v>93</v>
      </c>
      <c r="Z4" s="308">
        <v>94</v>
      </c>
      <c r="AA4" s="308">
        <v>94</v>
      </c>
      <c r="AB4" s="308">
        <v>93</v>
      </c>
      <c r="AC4" s="308">
        <v>93</v>
      </c>
      <c r="AD4" s="308">
        <v>95</v>
      </c>
      <c r="AE4" s="309">
        <f t="shared" ref="AE4:AE29" si="1">AVERAGE(V4,X4:AD4)+W4</f>
        <v>96.125</v>
      </c>
      <c r="AF4" s="110">
        <v>2</v>
      </c>
      <c r="AG4" s="15">
        <v>95</v>
      </c>
      <c r="AH4" s="15">
        <v>93</v>
      </c>
      <c r="AI4" s="15">
        <v>96</v>
      </c>
      <c r="AJ4" s="15">
        <v>94</v>
      </c>
      <c r="AK4" s="15">
        <v>93</v>
      </c>
      <c r="AL4" s="15">
        <v>95</v>
      </c>
      <c r="AM4" s="15">
        <v>95</v>
      </c>
      <c r="AN4" s="16">
        <f t="shared" ref="AN4:AN29" si="2">AVERAGE(AG4:AM4)</f>
        <v>94.428571428571431</v>
      </c>
      <c r="AO4" s="145">
        <v>92</v>
      </c>
    </row>
    <row r="5" spans="1:41" ht="18" customHeight="1">
      <c r="A5" s="147">
        <v>3</v>
      </c>
      <c r="B5" s="135" t="str">
        <f>VLOOKUP(A5,緊急聯絡!A$2:C$27,3,0)</f>
        <v>林昱任</v>
      </c>
      <c r="C5" s="307">
        <v>100</v>
      </c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8"/>
      <c r="S5" s="308">
        <v>98</v>
      </c>
      <c r="T5" s="308">
        <v>92</v>
      </c>
      <c r="U5" s="308">
        <f t="shared" si="0"/>
        <v>95</v>
      </c>
      <c r="V5" s="308">
        <v>92</v>
      </c>
      <c r="W5" s="308">
        <v>2</v>
      </c>
      <c r="X5" s="308">
        <v>85</v>
      </c>
      <c r="Y5" s="308">
        <v>90</v>
      </c>
      <c r="Z5" s="308">
        <v>92</v>
      </c>
      <c r="AA5" s="308">
        <v>92</v>
      </c>
      <c r="AB5" s="308">
        <v>88</v>
      </c>
      <c r="AC5" s="308">
        <v>85</v>
      </c>
      <c r="AD5" s="308">
        <v>83</v>
      </c>
      <c r="AE5" s="309">
        <f t="shared" si="1"/>
        <v>90.375</v>
      </c>
      <c r="AF5" s="110">
        <v>2</v>
      </c>
      <c r="AG5" s="15">
        <v>88</v>
      </c>
      <c r="AH5" s="15">
        <v>90</v>
      </c>
      <c r="AI5" s="15">
        <v>88</v>
      </c>
      <c r="AJ5" s="15">
        <v>92</v>
      </c>
      <c r="AK5" s="15">
        <v>88</v>
      </c>
      <c r="AL5" s="15">
        <v>88</v>
      </c>
      <c r="AM5" s="15">
        <v>83</v>
      </c>
      <c r="AN5" s="16">
        <f t="shared" si="2"/>
        <v>88.142857142857139</v>
      </c>
      <c r="AO5" s="145">
        <v>87</v>
      </c>
    </row>
    <row r="6" spans="1:41" ht="18" customHeight="1">
      <c r="A6" s="147">
        <v>4</v>
      </c>
      <c r="B6" s="135" t="str">
        <f>VLOOKUP(A6,緊急聯絡!A$2:C$27,3,0)</f>
        <v>李奎煜</v>
      </c>
      <c r="C6" s="307">
        <v>100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8"/>
      <c r="S6" s="308">
        <v>98</v>
      </c>
      <c r="T6" s="308">
        <v>94</v>
      </c>
      <c r="U6" s="308">
        <f t="shared" si="0"/>
        <v>96</v>
      </c>
      <c r="V6" s="308">
        <v>94.25</v>
      </c>
      <c r="W6" s="308">
        <v>3</v>
      </c>
      <c r="X6" s="308">
        <v>92</v>
      </c>
      <c r="Y6" s="308">
        <v>90</v>
      </c>
      <c r="Z6" s="308">
        <v>92</v>
      </c>
      <c r="AA6" s="308">
        <v>92</v>
      </c>
      <c r="AB6" s="308">
        <v>95</v>
      </c>
      <c r="AC6" s="308">
        <v>93</v>
      </c>
      <c r="AD6" s="308">
        <v>88</v>
      </c>
      <c r="AE6" s="309">
        <f t="shared" si="1"/>
        <v>95.03125</v>
      </c>
      <c r="AF6" s="110">
        <v>3</v>
      </c>
      <c r="AG6" s="15">
        <v>92</v>
      </c>
      <c r="AH6" s="15">
        <v>92</v>
      </c>
      <c r="AI6" s="15">
        <v>93</v>
      </c>
      <c r="AJ6" s="15">
        <v>92</v>
      </c>
      <c r="AK6" s="15">
        <v>95</v>
      </c>
      <c r="AL6" s="15">
        <v>97</v>
      </c>
      <c r="AM6" s="15">
        <v>92</v>
      </c>
      <c r="AN6" s="16">
        <f t="shared" si="2"/>
        <v>93.285714285714292</v>
      </c>
      <c r="AO6" s="145">
        <v>95</v>
      </c>
    </row>
    <row r="7" spans="1:41" ht="18" customHeight="1">
      <c r="A7" s="147">
        <v>5</v>
      </c>
      <c r="B7" s="135" t="str">
        <f>VLOOKUP(A7,緊急聯絡!A$2:C$27,3,0)</f>
        <v>葉翃均</v>
      </c>
      <c r="C7" s="307">
        <v>100</v>
      </c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8"/>
      <c r="S7" s="308">
        <v>98</v>
      </c>
      <c r="T7" s="308">
        <v>50</v>
      </c>
      <c r="U7" s="308">
        <f t="shared" si="0"/>
        <v>74</v>
      </c>
      <c r="V7" s="308">
        <v>96</v>
      </c>
      <c r="W7" s="308">
        <v>2</v>
      </c>
      <c r="X7" s="308">
        <v>90</v>
      </c>
      <c r="Y7" s="308">
        <v>85</v>
      </c>
      <c r="Z7" s="308">
        <v>90</v>
      </c>
      <c r="AA7" s="308">
        <v>92</v>
      </c>
      <c r="AB7" s="308">
        <v>85</v>
      </c>
      <c r="AC7" s="308">
        <v>88</v>
      </c>
      <c r="AD7" s="308">
        <v>88</v>
      </c>
      <c r="AE7" s="309">
        <f t="shared" si="1"/>
        <v>91.25</v>
      </c>
      <c r="AF7" s="110">
        <v>2</v>
      </c>
      <c r="AG7" s="15">
        <v>90</v>
      </c>
      <c r="AH7" s="15">
        <v>85</v>
      </c>
      <c r="AI7" s="15">
        <v>90</v>
      </c>
      <c r="AJ7" s="15">
        <v>92</v>
      </c>
      <c r="AK7" s="15">
        <v>85</v>
      </c>
      <c r="AL7" s="15">
        <v>90</v>
      </c>
      <c r="AM7" s="15">
        <v>90</v>
      </c>
      <c r="AN7" s="16">
        <f t="shared" si="2"/>
        <v>88.857142857142861</v>
      </c>
      <c r="AO7" s="145">
        <v>87</v>
      </c>
    </row>
    <row r="8" spans="1:41" ht="18" customHeight="1">
      <c r="A8" s="147">
        <v>6</v>
      </c>
      <c r="B8" s="135" t="str">
        <f>VLOOKUP(A8,緊急聯絡!A$2:C$27,3,0)</f>
        <v>王奕勳</v>
      </c>
      <c r="C8" s="307">
        <v>100</v>
      </c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8"/>
      <c r="S8" s="308">
        <v>93</v>
      </c>
      <c r="T8" s="308">
        <v>92</v>
      </c>
      <c r="U8" s="308">
        <f t="shared" si="0"/>
        <v>92.5</v>
      </c>
      <c r="V8" s="308">
        <v>93</v>
      </c>
      <c r="W8" s="308">
        <v>2</v>
      </c>
      <c r="X8" s="308">
        <v>90</v>
      </c>
      <c r="Y8" s="308">
        <v>90</v>
      </c>
      <c r="Z8" s="308">
        <v>90</v>
      </c>
      <c r="AA8" s="308">
        <v>92</v>
      </c>
      <c r="AB8" s="308">
        <v>90</v>
      </c>
      <c r="AC8" s="308">
        <v>85</v>
      </c>
      <c r="AD8" s="308">
        <v>90</v>
      </c>
      <c r="AE8" s="309">
        <f t="shared" si="1"/>
        <v>92</v>
      </c>
      <c r="AF8" s="110">
        <v>2</v>
      </c>
      <c r="AG8" s="15">
        <v>90</v>
      </c>
      <c r="AH8" s="15">
        <v>90</v>
      </c>
      <c r="AI8" s="15">
        <v>90</v>
      </c>
      <c r="AJ8" s="15">
        <v>92</v>
      </c>
      <c r="AK8" s="15">
        <v>90</v>
      </c>
      <c r="AL8" s="15">
        <v>90</v>
      </c>
      <c r="AM8" s="15">
        <v>90</v>
      </c>
      <c r="AN8" s="16">
        <f t="shared" si="2"/>
        <v>90.285714285714292</v>
      </c>
      <c r="AO8" s="145">
        <v>90</v>
      </c>
    </row>
    <row r="9" spans="1:41" ht="18" customHeight="1">
      <c r="A9" s="147">
        <v>7</v>
      </c>
      <c r="B9" s="135" t="str">
        <f>VLOOKUP(A9,緊急聯絡!A$2:C$27,3,0)</f>
        <v>葉彥均</v>
      </c>
      <c r="C9" s="307">
        <v>95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8"/>
      <c r="S9" s="308">
        <v>85</v>
      </c>
      <c r="T9" s="308"/>
      <c r="U9" s="308">
        <f t="shared" si="0"/>
        <v>85</v>
      </c>
      <c r="V9" s="308">
        <v>93</v>
      </c>
      <c r="W9" s="308">
        <v>3</v>
      </c>
      <c r="X9" s="308">
        <v>98</v>
      </c>
      <c r="Y9" s="308">
        <v>93</v>
      </c>
      <c r="Z9" s="308">
        <v>92</v>
      </c>
      <c r="AA9" s="308">
        <v>92</v>
      </c>
      <c r="AB9" s="308">
        <v>94</v>
      </c>
      <c r="AC9" s="308">
        <v>92</v>
      </c>
      <c r="AD9" s="308">
        <v>95</v>
      </c>
      <c r="AE9" s="309">
        <f t="shared" si="1"/>
        <v>96.625</v>
      </c>
      <c r="AF9" s="110">
        <v>3</v>
      </c>
      <c r="AG9" s="15">
        <v>91</v>
      </c>
      <c r="AH9" s="15">
        <v>92</v>
      </c>
      <c r="AI9" s="15">
        <v>92</v>
      </c>
      <c r="AJ9" s="15">
        <v>92</v>
      </c>
      <c r="AK9" s="15">
        <v>94</v>
      </c>
      <c r="AL9" s="15">
        <v>92</v>
      </c>
      <c r="AM9" s="15">
        <v>92</v>
      </c>
      <c r="AN9" s="16">
        <f t="shared" si="2"/>
        <v>92.142857142857139</v>
      </c>
      <c r="AO9" s="145">
        <v>93</v>
      </c>
    </row>
    <row r="10" spans="1:41" ht="18" customHeight="1">
      <c r="A10" s="147">
        <v>8</v>
      </c>
      <c r="B10" s="135" t="str">
        <f>VLOOKUP(A10,緊急聯絡!A$2:C$27,3,0)</f>
        <v>洪楷珅</v>
      </c>
      <c r="C10" s="307">
        <v>95</v>
      </c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8"/>
      <c r="S10" s="308">
        <v>93</v>
      </c>
      <c r="T10" s="308">
        <v>90</v>
      </c>
      <c r="U10" s="308">
        <f t="shared" si="0"/>
        <v>91.5</v>
      </c>
      <c r="V10" s="308">
        <v>91.75</v>
      </c>
      <c r="W10" s="308">
        <v>2</v>
      </c>
      <c r="X10" s="308">
        <v>92</v>
      </c>
      <c r="Y10" s="308">
        <v>94</v>
      </c>
      <c r="Z10" s="308">
        <v>85</v>
      </c>
      <c r="AA10" s="308">
        <v>90</v>
      </c>
      <c r="AB10" s="308">
        <v>90</v>
      </c>
      <c r="AC10" s="308">
        <v>90</v>
      </c>
      <c r="AD10" s="308">
        <v>92</v>
      </c>
      <c r="AE10" s="309">
        <f t="shared" si="1"/>
        <v>92.59375</v>
      </c>
      <c r="AF10" s="110">
        <v>2</v>
      </c>
      <c r="AG10" s="15">
        <v>93</v>
      </c>
      <c r="AH10" s="15">
        <v>94</v>
      </c>
      <c r="AI10" s="15">
        <v>90</v>
      </c>
      <c r="AJ10" s="15">
        <v>90</v>
      </c>
      <c r="AK10" s="15">
        <v>90</v>
      </c>
      <c r="AL10" s="15">
        <v>97</v>
      </c>
      <c r="AM10" s="15">
        <v>92</v>
      </c>
      <c r="AN10" s="16">
        <f t="shared" si="2"/>
        <v>92.285714285714292</v>
      </c>
      <c r="AO10" s="145">
        <v>90</v>
      </c>
    </row>
    <row r="11" spans="1:41" ht="18" customHeight="1">
      <c r="A11" s="147">
        <v>9</v>
      </c>
      <c r="B11" s="135" t="str">
        <f>VLOOKUP(A11,緊急聯絡!A$2:C$27,3,0)</f>
        <v>吳承哲</v>
      </c>
      <c r="C11" s="307">
        <v>80</v>
      </c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8"/>
      <c r="S11" s="308">
        <v>98</v>
      </c>
      <c r="T11" s="308">
        <v>98</v>
      </c>
      <c r="U11" s="308">
        <f t="shared" si="0"/>
        <v>98</v>
      </c>
      <c r="V11" s="308">
        <v>97</v>
      </c>
      <c r="W11" s="308">
        <v>3</v>
      </c>
      <c r="X11" s="308">
        <v>96</v>
      </c>
      <c r="Y11" s="308">
        <v>92</v>
      </c>
      <c r="Z11" s="308">
        <v>95</v>
      </c>
      <c r="AA11" s="308">
        <v>92</v>
      </c>
      <c r="AB11" s="308">
        <v>96</v>
      </c>
      <c r="AC11" s="308">
        <v>94</v>
      </c>
      <c r="AD11" s="308">
        <v>93</v>
      </c>
      <c r="AE11" s="309">
        <f t="shared" si="1"/>
        <v>97.375</v>
      </c>
      <c r="AF11" s="110">
        <v>3</v>
      </c>
      <c r="AG11" s="15">
        <v>96</v>
      </c>
      <c r="AH11" s="15">
        <v>90</v>
      </c>
      <c r="AI11" s="15">
        <v>93</v>
      </c>
      <c r="AJ11" s="15">
        <v>92</v>
      </c>
      <c r="AK11" s="15">
        <v>96</v>
      </c>
      <c r="AL11" s="15">
        <v>98</v>
      </c>
      <c r="AM11" s="15">
        <v>93</v>
      </c>
      <c r="AN11" s="16">
        <f t="shared" si="2"/>
        <v>94</v>
      </c>
      <c r="AO11" s="145">
        <v>93</v>
      </c>
    </row>
    <row r="12" spans="1:41" ht="18" customHeight="1">
      <c r="A12" s="147">
        <v>10</v>
      </c>
      <c r="B12" s="135" t="str">
        <f>VLOOKUP(A12,緊急聯絡!A$2:C$27,3,0)</f>
        <v>李宥霆</v>
      </c>
      <c r="C12" s="307">
        <v>85</v>
      </c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8"/>
      <c r="S12" s="308">
        <v>93</v>
      </c>
      <c r="T12" s="308"/>
      <c r="U12" s="308">
        <f t="shared" si="0"/>
        <v>93</v>
      </c>
      <c r="V12" s="308">
        <v>90</v>
      </c>
      <c r="W12" s="308">
        <v>3</v>
      </c>
      <c r="X12" s="308">
        <v>98</v>
      </c>
      <c r="Y12" s="308">
        <v>92</v>
      </c>
      <c r="Z12" s="308">
        <v>92</v>
      </c>
      <c r="AA12" s="308">
        <v>92</v>
      </c>
      <c r="AB12" s="308">
        <v>88</v>
      </c>
      <c r="AC12" s="308">
        <v>90</v>
      </c>
      <c r="AD12" s="308">
        <v>95</v>
      </c>
      <c r="AE12" s="309">
        <f t="shared" si="1"/>
        <v>95.125</v>
      </c>
      <c r="AF12" s="110">
        <v>3</v>
      </c>
      <c r="AG12" s="15">
        <v>98</v>
      </c>
      <c r="AH12" s="15">
        <v>92</v>
      </c>
      <c r="AI12" s="15">
        <v>90</v>
      </c>
      <c r="AJ12" s="15">
        <v>92</v>
      </c>
      <c r="AK12" s="15">
        <v>88</v>
      </c>
      <c r="AL12" s="15">
        <v>90</v>
      </c>
      <c r="AM12" s="15">
        <v>95</v>
      </c>
      <c r="AN12" s="16">
        <f t="shared" si="2"/>
        <v>92.142857142857139</v>
      </c>
      <c r="AO12" s="145">
        <v>90</v>
      </c>
    </row>
    <row r="13" spans="1:41" ht="18" customHeight="1">
      <c r="A13" s="147">
        <v>11</v>
      </c>
      <c r="B13" s="135" t="str">
        <f>VLOOKUP(A13,緊急聯絡!A$2:C$27,3,0)</f>
        <v>柯皓哲</v>
      </c>
      <c r="C13" s="307">
        <v>95</v>
      </c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8"/>
      <c r="S13" s="308">
        <v>93</v>
      </c>
      <c r="T13" s="308">
        <v>88</v>
      </c>
      <c r="U13" s="308">
        <f t="shared" si="0"/>
        <v>90.5</v>
      </c>
      <c r="V13" s="308">
        <v>97</v>
      </c>
      <c r="W13" s="308">
        <v>3</v>
      </c>
      <c r="X13" s="308">
        <v>98</v>
      </c>
      <c r="Y13" s="308">
        <v>92</v>
      </c>
      <c r="Z13" s="308">
        <v>94</v>
      </c>
      <c r="AA13" s="308">
        <v>94</v>
      </c>
      <c r="AB13" s="308">
        <v>92</v>
      </c>
      <c r="AC13" s="308">
        <v>94</v>
      </c>
      <c r="AD13" s="308">
        <v>88</v>
      </c>
      <c r="AE13" s="309">
        <f t="shared" si="1"/>
        <v>96.625</v>
      </c>
      <c r="AF13" s="110">
        <v>3</v>
      </c>
      <c r="AG13" s="15">
        <v>96</v>
      </c>
      <c r="AH13" s="15">
        <v>93</v>
      </c>
      <c r="AI13" s="15">
        <v>94</v>
      </c>
      <c r="AJ13" s="15">
        <v>94</v>
      </c>
      <c r="AK13" s="15">
        <v>92</v>
      </c>
      <c r="AL13" s="15">
        <v>94</v>
      </c>
      <c r="AM13" s="15">
        <v>92</v>
      </c>
      <c r="AN13" s="16">
        <f t="shared" si="2"/>
        <v>93.571428571428569</v>
      </c>
      <c r="AO13" s="145">
        <v>90</v>
      </c>
    </row>
    <row r="14" spans="1:41" ht="18" customHeight="1">
      <c r="A14" s="147">
        <v>12</v>
      </c>
      <c r="B14" s="135" t="str">
        <f>VLOOKUP(A14,緊急聯絡!A$2:C$27,3,0)</f>
        <v>魏宇謙</v>
      </c>
      <c r="C14" s="307">
        <v>95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8"/>
      <c r="S14" s="308">
        <v>98</v>
      </c>
      <c r="T14" s="308">
        <v>92</v>
      </c>
      <c r="U14" s="308">
        <f t="shared" si="0"/>
        <v>95</v>
      </c>
      <c r="V14" s="308">
        <v>91</v>
      </c>
      <c r="W14" s="308">
        <v>2</v>
      </c>
      <c r="X14" s="308">
        <v>96</v>
      </c>
      <c r="Y14" s="308">
        <v>93</v>
      </c>
      <c r="Z14" s="308">
        <v>94</v>
      </c>
      <c r="AA14" s="308">
        <v>94</v>
      </c>
      <c r="AB14" s="308">
        <v>92</v>
      </c>
      <c r="AC14" s="308">
        <v>94</v>
      </c>
      <c r="AD14" s="308">
        <v>96</v>
      </c>
      <c r="AE14" s="309">
        <f t="shared" si="1"/>
        <v>95.75</v>
      </c>
      <c r="AF14" s="110">
        <v>2</v>
      </c>
      <c r="AG14" s="15">
        <v>98</v>
      </c>
      <c r="AH14" s="15">
        <v>95</v>
      </c>
      <c r="AI14" s="15">
        <v>95</v>
      </c>
      <c r="AJ14" s="15">
        <v>94</v>
      </c>
      <c r="AK14" s="15">
        <v>92</v>
      </c>
      <c r="AL14" s="15">
        <v>98</v>
      </c>
      <c r="AM14" s="15">
        <v>96</v>
      </c>
      <c r="AN14" s="16">
        <f t="shared" si="2"/>
        <v>95.428571428571431</v>
      </c>
      <c r="AO14" s="145">
        <v>92</v>
      </c>
    </row>
    <row r="15" spans="1:41" ht="18" customHeight="1">
      <c r="A15" s="147">
        <v>13</v>
      </c>
      <c r="B15" s="135" t="str">
        <f>VLOOKUP(A15,緊急聯絡!A$2:C$27,3,0)</f>
        <v>林季曄</v>
      </c>
      <c r="C15" s="307">
        <v>90</v>
      </c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8"/>
      <c r="S15" s="308">
        <v>98</v>
      </c>
      <c r="T15" s="308">
        <v>96</v>
      </c>
      <c r="U15" s="308">
        <f t="shared" si="0"/>
        <v>97</v>
      </c>
      <c r="V15" s="308">
        <v>97</v>
      </c>
      <c r="W15" s="308">
        <v>2</v>
      </c>
      <c r="X15" s="308">
        <v>97</v>
      </c>
      <c r="Y15" s="308">
        <v>88</v>
      </c>
      <c r="Z15" s="308">
        <v>94</v>
      </c>
      <c r="AA15" s="308">
        <v>93</v>
      </c>
      <c r="AB15" s="308">
        <v>93</v>
      </c>
      <c r="AC15" s="308">
        <v>94</v>
      </c>
      <c r="AD15" s="308">
        <v>96</v>
      </c>
      <c r="AE15" s="309">
        <f t="shared" si="1"/>
        <v>96</v>
      </c>
      <c r="AF15" s="110">
        <v>2</v>
      </c>
      <c r="AG15" s="15">
        <v>95</v>
      </c>
      <c r="AH15" s="15">
        <v>92</v>
      </c>
      <c r="AI15" s="15">
        <v>96</v>
      </c>
      <c r="AJ15" s="15">
        <v>93</v>
      </c>
      <c r="AK15" s="15">
        <v>93</v>
      </c>
      <c r="AL15" s="15">
        <v>98</v>
      </c>
      <c r="AM15" s="15">
        <v>96</v>
      </c>
      <c r="AN15" s="16">
        <f t="shared" si="2"/>
        <v>94.714285714285708</v>
      </c>
      <c r="AO15" s="145">
        <v>93</v>
      </c>
    </row>
    <row r="16" spans="1:41" ht="18" customHeight="1">
      <c r="A16" s="147">
        <v>14</v>
      </c>
      <c r="B16" s="135" t="str">
        <f>VLOOKUP(A16,緊急聯絡!A$2:C$27,3,0)</f>
        <v>高翊庭</v>
      </c>
      <c r="C16" s="307">
        <v>95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8"/>
      <c r="S16" s="308">
        <v>93</v>
      </c>
      <c r="T16" s="308">
        <v>95</v>
      </c>
      <c r="U16" s="308">
        <f t="shared" si="0"/>
        <v>94</v>
      </c>
      <c r="V16" s="308">
        <v>96</v>
      </c>
      <c r="W16" s="308">
        <v>3</v>
      </c>
      <c r="X16" s="308">
        <v>95</v>
      </c>
      <c r="Y16" s="308">
        <v>93</v>
      </c>
      <c r="Z16" s="308">
        <v>94</v>
      </c>
      <c r="AA16" s="308">
        <v>93</v>
      </c>
      <c r="AB16" s="308">
        <v>93</v>
      </c>
      <c r="AC16" s="308">
        <v>95</v>
      </c>
      <c r="AD16" s="308">
        <v>95</v>
      </c>
      <c r="AE16" s="309">
        <f t="shared" si="1"/>
        <v>97.25</v>
      </c>
      <c r="AF16" s="110">
        <v>3</v>
      </c>
      <c r="AG16" s="15">
        <v>95</v>
      </c>
      <c r="AH16" s="15">
        <v>90</v>
      </c>
      <c r="AI16" s="15">
        <v>95</v>
      </c>
      <c r="AJ16" s="15">
        <v>93</v>
      </c>
      <c r="AK16" s="15">
        <v>93</v>
      </c>
      <c r="AL16" s="15">
        <v>98</v>
      </c>
      <c r="AM16" s="15">
        <v>95</v>
      </c>
      <c r="AN16" s="16">
        <f t="shared" si="2"/>
        <v>94.142857142857139</v>
      </c>
      <c r="AO16" s="145">
        <v>90</v>
      </c>
    </row>
    <row r="17" spans="1:41" ht="18" customHeight="1">
      <c r="A17" s="147">
        <v>15</v>
      </c>
      <c r="B17" s="135" t="str">
        <f>VLOOKUP(A17,緊急聯絡!A$2:C$27,3,0)</f>
        <v>藍彩華</v>
      </c>
      <c r="C17" s="307">
        <v>100</v>
      </c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8"/>
      <c r="S17" s="308">
        <v>98</v>
      </c>
      <c r="T17" s="308">
        <v>93</v>
      </c>
      <c r="U17" s="308">
        <f t="shared" si="0"/>
        <v>95.5</v>
      </c>
      <c r="V17" s="308">
        <v>93</v>
      </c>
      <c r="W17" s="308">
        <v>2</v>
      </c>
      <c r="X17" s="308">
        <v>96</v>
      </c>
      <c r="Y17" s="308">
        <v>95</v>
      </c>
      <c r="Z17" s="308">
        <v>94</v>
      </c>
      <c r="AA17" s="308">
        <v>93</v>
      </c>
      <c r="AB17" s="308">
        <v>95</v>
      </c>
      <c r="AC17" s="308">
        <v>93</v>
      </c>
      <c r="AD17" s="308">
        <v>85</v>
      </c>
      <c r="AE17" s="309">
        <f t="shared" si="1"/>
        <v>95</v>
      </c>
      <c r="AF17" s="110">
        <v>2</v>
      </c>
      <c r="AG17" s="15">
        <v>91</v>
      </c>
      <c r="AH17" s="15">
        <v>95</v>
      </c>
      <c r="AI17" s="15">
        <v>95</v>
      </c>
      <c r="AJ17" s="15">
        <v>93</v>
      </c>
      <c r="AK17" s="15">
        <v>95</v>
      </c>
      <c r="AL17" s="15">
        <v>97</v>
      </c>
      <c r="AM17" s="15">
        <v>85</v>
      </c>
      <c r="AN17" s="16">
        <f t="shared" si="2"/>
        <v>93</v>
      </c>
      <c r="AO17" s="145">
        <v>92</v>
      </c>
    </row>
    <row r="18" spans="1:41" ht="18" customHeight="1">
      <c r="A18" s="147">
        <v>16</v>
      </c>
      <c r="B18" s="135" t="str">
        <f>VLOOKUP(A18,緊急聯絡!A$2:C$27,3,0)</f>
        <v>曾琛晞</v>
      </c>
      <c r="C18" s="307">
        <v>90</v>
      </c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8"/>
      <c r="S18" s="308">
        <v>98</v>
      </c>
      <c r="T18" s="308"/>
      <c r="U18" s="308">
        <f t="shared" si="0"/>
        <v>98</v>
      </c>
      <c r="V18" s="308">
        <v>96</v>
      </c>
      <c r="W18" s="308">
        <v>2</v>
      </c>
      <c r="X18" s="308">
        <v>96</v>
      </c>
      <c r="Y18" s="308">
        <v>90</v>
      </c>
      <c r="Z18" s="308">
        <v>94</v>
      </c>
      <c r="AA18" s="308">
        <v>93</v>
      </c>
      <c r="AB18" s="308">
        <v>92</v>
      </c>
      <c r="AC18" s="308">
        <v>88</v>
      </c>
      <c r="AD18" s="308">
        <v>92</v>
      </c>
      <c r="AE18" s="309">
        <f t="shared" si="1"/>
        <v>94.625</v>
      </c>
      <c r="AF18" s="110">
        <v>2</v>
      </c>
      <c r="AG18" s="15">
        <v>94</v>
      </c>
      <c r="AH18" s="15">
        <v>90</v>
      </c>
      <c r="AI18" s="15">
        <v>95</v>
      </c>
      <c r="AJ18" s="15">
        <v>93</v>
      </c>
      <c r="AK18" s="15">
        <v>92</v>
      </c>
      <c r="AL18" s="15">
        <v>95</v>
      </c>
      <c r="AM18" s="15">
        <v>92</v>
      </c>
      <c r="AN18" s="16">
        <f t="shared" si="2"/>
        <v>93</v>
      </c>
      <c r="AO18" s="145">
        <v>94</v>
      </c>
    </row>
    <row r="19" spans="1:41" ht="18" customHeight="1">
      <c r="A19" s="147">
        <v>17</v>
      </c>
      <c r="B19" s="135" t="str">
        <f>VLOOKUP(A19,緊急聯絡!A$2:C$27,3,0)</f>
        <v>張智函</v>
      </c>
      <c r="C19" s="307">
        <v>100</v>
      </c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8"/>
      <c r="S19" s="308">
        <v>80</v>
      </c>
      <c r="T19" s="308">
        <v>92</v>
      </c>
      <c r="U19" s="308">
        <f t="shared" si="0"/>
        <v>86</v>
      </c>
      <c r="V19" s="308">
        <v>94</v>
      </c>
      <c r="W19" s="308">
        <v>2</v>
      </c>
      <c r="X19" s="308">
        <v>92</v>
      </c>
      <c r="Y19" s="308">
        <v>85</v>
      </c>
      <c r="Z19" s="308">
        <v>92</v>
      </c>
      <c r="AA19" s="308">
        <v>92</v>
      </c>
      <c r="AB19" s="308">
        <v>88</v>
      </c>
      <c r="AC19" s="308">
        <v>86</v>
      </c>
      <c r="AD19" s="308">
        <v>85</v>
      </c>
      <c r="AE19" s="309">
        <f t="shared" si="1"/>
        <v>91.25</v>
      </c>
      <c r="AF19" s="110">
        <v>2</v>
      </c>
      <c r="AG19" s="15">
        <v>92</v>
      </c>
      <c r="AH19" s="15">
        <v>88</v>
      </c>
      <c r="AI19" s="15">
        <v>91</v>
      </c>
      <c r="AJ19" s="15">
        <v>92</v>
      </c>
      <c r="AK19" s="15">
        <v>88</v>
      </c>
      <c r="AL19" s="15">
        <v>95</v>
      </c>
      <c r="AM19" s="15">
        <v>85</v>
      </c>
      <c r="AN19" s="16">
        <f t="shared" si="2"/>
        <v>90.142857142857139</v>
      </c>
      <c r="AO19" s="145">
        <v>95</v>
      </c>
    </row>
    <row r="20" spans="1:41" ht="18" customHeight="1">
      <c r="A20" s="147">
        <v>18</v>
      </c>
      <c r="B20" s="135" t="str">
        <f>VLOOKUP(A20,緊急聯絡!A$2:C$27,3,0)</f>
        <v>許凌菲</v>
      </c>
      <c r="C20" s="307">
        <v>95</v>
      </c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8"/>
      <c r="S20" s="308">
        <v>98</v>
      </c>
      <c r="T20" s="308">
        <v>92</v>
      </c>
      <c r="U20" s="308">
        <f t="shared" si="0"/>
        <v>95</v>
      </c>
      <c r="V20" s="308">
        <v>95.5</v>
      </c>
      <c r="W20" s="308">
        <v>3</v>
      </c>
      <c r="X20" s="308">
        <v>98</v>
      </c>
      <c r="Y20" s="308">
        <v>98</v>
      </c>
      <c r="Z20" s="308">
        <v>93</v>
      </c>
      <c r="AA20" s="308">
        <v>90</v>
      </c>
      <c r="AB20" s="308">
        <v>90</v>
      </c>
      <c r="AC20" s="308">
        <v>97</v>
      </c>
      <c r="AD20" s="308">
        <v>85</v>
      </c>
      <c r="AE20" s="309">
        <f t="shared" si="1"/>
        <v>96.3125</v>
      </c>
      <c r="AF20" s="110">
        <v>3</v>
      </c>
      <c r="AG20" s="15">
        <v>96</v>
      </c>
      <c r="AH20" s="15">
        <v>97</v>
      </c>
      <c r="AI20" s="15">
        <v>95</v>
      </c>
      <c r="AJ20" s="15">
        <v>90</v>
      </c>
      <c r="AK20" s="15">
        <v>90</v>
      </c>
      <c r="AL20" s="15">
        <v>95</v>
      </c>
      <c r="AM20" s="15">
        <v>85</v>
      </c>
      <c r="AN20" s="16">
        <f t="shared" si="2"/>
        <v>92.571428571428569</v>
      </c>
      <c r="AO20" s="145">
        <v>90</v>
      </c>
    </row>
    <row r="21" spans="1:41" ht="18" customHeight="1">
      <c r="A21" s="147">
        <v>19</v>
      </c>
      <c r="B21" s="135" t="str">
        <f>VLOOKUP(A21,緊急聯絡!A$2:C$27,3,0)</f>
        <v>吳羽棠</v>
      </c>
      <c r="C21" s="307">
        <v>100</v>
      </c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8"/>
      <c r="S21" s="308">
        <v>98</v>
      </c>
      <c r="T21" s="308">
        <v>92</v>
      </c>
      <c r="U21" s="308">
        <f t="shared" si="0"/>
        <v>95</v>
      </c>
      <c r="V21" s="308">
        <v>96</v>
      </c>
      <c r="W21" s="308">
        <v>2</v>
      </c>
      <c r="X21" s="308">
        <v>95</v>
      </c>
      <c r="Y21" s="308">
        <v>90</v>
      </c>
      <c r="Z21" s="308">
        <v>93</v>
      </c>
      <c r="AA21" s="308">
        <v>93</v>
      </c>
      <c r="AB21" s="308">
        <v>90</v>
      </c>
      <c r="AC21" s="308">
        <v>90</v>
      </c>
      <c r="AD21" s="308">
        <v>92</v>
      </c>
      <c r="AE21" s="309">
        <f t="shared" si="1"/>
        <v>94.375</v>
      </c>
      <c r="AF21" s="110">
        <v>2</v>
      </c>
      <c r="AG21" s="15">
        <v>95</v>
      </c>
      <c r="AH21" s="15">
        <v>92</v>
      </c>
      <c r="AI21" s="15">
        <v>94</v>
      </c>
      <c r="AJ21" s="15">
        <v>93</v>
      </c>
      <c r="AK21" s="15">
        <v>90</v>
      </c>
      <c r="AL21" s="15">
        <v>95</v>
      </c>
      <c r="AM21" s="15">
        <v>95</v>
      </c>
      <c r="AN21" s="16">
        <f t="shared" si="2"/>
        <v>93.428571428571431</v>
      </c>
      <c r="AO21" s="145">
        <v>92</v>
      </c>
    </row>
    <row r="22" spans="1:41" ht="18" customHeight="1">
      <c r="A22" s="147">
        <v>20</v>
      </c>
      <c r="B22" s="135" t="str">
        <f>VLOOKUP(A22,緊急聯絡!A$2:C$27,3,0)</f>
        <v>蔡羽媗</v>
      </c>
      <c r="C22" s="307">
        <v>85</v>
      </c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8"/>
      <c r="S22" s="308">
        <v>88</v>
      </c>
      <c r="T22" s="308">
        <v>90</v>
      </c>
      <c r="U22" s="308">
        <f t="shared" si="0"/>
        <v>89</v>
      </c>
      <c r="V22" s="308">
        <v>93</v>
      </c>
      <c r="W22" s="308">
        <v>2</v>
      </c>
      <c r="X22" s="308">
        <v>90</v>
      </c>
      <c r="Y22" s="308">
        <v>92</v>
      </c>
      <c r="Z22" s="308">
        <v>90</v>
      </c>
      <c r="AA22" s="308">
        <v>90</v>
      </c>
      <c r="AB22" s="308">
        <v>90</v>
      </c>
      <c r="AC22" s="308">
        <v>88</v>
      </c>
      <c r="AD22" s="308">
        <v>88</v>
      </c>
      <c r="AE22" s="309">
        <f t="shared" si="1"/>
        <v>92.125</v>
      </c>
      <c r="AF22" s="110">
        <v>2</v>
      </c>
      <c r="AG22" s="15">
        <v>92</v>
      </c>
      <c r="AH22" s="15">
        <v>93</v>
      </c>
      <c r="AI22" s="15">
        <v>92</v>
      </c>
      <c r="AJ22" s="15">
        <v>90</v>
      </c>
      <c r="AK22" s="15">
        <v>90</v>
      </c>
      <c r="AL22" s="15">
        <v>88</v>
      </c>
      <c r="AM22" s="15">
        <v>93</v>
      </c>
      <c r="AN22" s="16">
        <f t="shared" si="2"/>
        <v>91.142857142857139</v>
      </c>
      <c r="AO22" s="145">
        <v>93</v>
      </c>
    </row>
    <row r="23" spans="1:41" ht="18" customHeight="1">
      <c r="A23" s="147">
        <v>21</v>
      </c>
      <c r="B23" s="135" t="str">
        <f>VLOOKUP(A23,緊急聯絡!A$2:C$27,3,0)</f>
        <v>楊筱歆</v>
      </c>
      <c r="C23" s="307">
        <v>85</v>
      </c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8"/>
      <c r="S23" s="308">
        <v>98</v>
      </c>
      <c r="T23" s="308">
        <v>92</v>
      </c>
      <c r="U23" s="308">
        <f t="shared" si="0"/>
        <v>95</v>
      </c>
      <c r="V23" s="308">
        <v>96</v>
      </c>
      <c r="W23" s="308">
        <v>3</v>
      </c>
      <c r="X23" s="308">
        <v>97</v>
      </c>
      <c r="Y23" s="308">
        <v>94</v>
      </c>
      <c r="Z23" s="308">
        <v>94</v>
      </c>
      <c r="AA23" s="308">
        <v>94</v>
      </c>
      <c r="AB23" s="308">
        <v>94</v>
      </c>
      <c r="AC23" s="308">
        <v>95</v>
      </c>
      <c r="AD23" s="308">
        <v>96</v>
      </c>
      <c r="AE23" s="309">
        <f t="shared" si="1"/>
        <v>98</v>
      </c>
      <c r="AF23" s="110">
        <v>3</v>
      </c>
      <c r="AG23" s="15">
        <v>97</v>
      </c>
      <c r="AH23" s="15">
        <v>94</v>
      </c>
      <c r="AI23" s="15">
        <v>95</v>
      </c>
      <c r="AJ23" s="15">
        <v>94</v>
      </c>
      <c r="AK23" s="15">
        <v>94</v>
      </c>
      <c r="AL23" s="15">
        <v>96</v>
      </c>
      <c r="AM23" s="15">
        <v>96</v>
      </c>
      <c r="AN23" s="16">
        <f t="shared" si="2"/>
        <v>95.142857142857139</v>
      </c>
      <c r="AO23" s="145">
        <v>92</v>
      </c>
    </row>
    <row r="24" spans="1:41" ht="18" customHeight="1">
      <c r="A24" s="147">
        <v>22</v>
      </c>
      <c r="B24" s="135" t="str">
        <f>VLOOKUP(A24,緊急聯絡!A$2:C$27,3,0)</f>
        <v>邱詩涵</v>
      </c>
      <c r="C24" s="307">
        <v>95</v>
      </c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8"/>
      <c r="S24" s="308">
        <v>98</v>
      </c>
      <c r="T24" s="308">
        <v>91</v>
      </c>
      <c r="U24" s="308">
        <f t="shared" si="0"/>
        <v>94.5</v>
      </c>
      <c r="V24" s="308">
        <v>96</v>
      </c>
      <c r="W24" s="308">
        <v>3</v>
      </c>
      <c r="X24" s="308">
        <v>93</v>
      </c>
      <c r="Y24" s="308">
        <v>98</v>
      </c>
      <c r="Z24" s="308">
        <v>92</v>
      </c>
      <c r="AA24" s="308">
        <v>93</v>
      </c>
      <c r="AB24" s="308">
        <v>95</v>
      </c>
      <c r="AC24" s="308">
        <v>95</v>
      </c>
      <c r="AD24" s="308">
        <v>85</v>
      </c>
      <c r="AE24" s="309">
        <f t="shared" si="1"/>
        <v>96.375</v>
      </c>
      <c r="AF24" s="110">
        <v>3</v>
      </c>
      <c r="AG24" s="15">
        <v>93</v>
      </c>
      <c r="AH24" s="15">
        <v>98</v>
      </c>
      <c r="AI24" s="15">
        <v>94</v>
      </c>
      <c r="AJ24" s="15">
        <v>93</v>
      </c>
      <c r="AK24" s="15">
        <v>95</v>
      </c>
      <c r="AL24" s="15">
        <v>95</v>
      </c>
      <c r="AM24" s="15">
        <v>90</v>
      </c>
      <c r="AN24" s="16">
        <f t="shared" si="2"/>
        <v>94</v>
      </c>
      <c r="AO24" s="145">
        <v>91</v>
      </c>
    </row>
    <row r="25" spans="1:41" ht="18" customHeight="1">
      <c r="A25" s="147">
        <v>23</v>
      </c>
      <c r="B25" s="135" t="str">
        <f>VLOOKUP(A25,緊急聯絡!A$2:C$27,3,0)</f>
        <v>張涵甯</v>
      </c>
      <c r="C25" s="307">
        <v>100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8"/>
      <c r="S25" s="308">
        <v>98</v>
      </c>
      <c r="T25" s="308">
        <v>93</v>
      </c>
      <c r="U25" s="308">
        <f t="shared" si="0"/>
        <v>95.5</v>
      </c>
      <c r="V25" s="308">
        <v>97</v>
      </c>
      <c r="W25" s="308">
        <v>2</v>
      </c>
      <c r="X25" s="308">
        <v>96</v>
      </c>
      <c r="Y25" s="308">
        <v>95</v>
      </c>
      <c r="Z25" s="308">
        <v>94</v>
      </c>
      <c r="AA25" s="308">
        <v>93</v>
      </c>
      <c r="AB25" s="308">
        <v>94</v>
      </c>
      <c r="AC25" s="308">
        <v>95</v>
      </c>
      <c r="AD25" s="308">
        <v>88</v>
      </c>
      <c r="AE25" s="309">
        <f t="shared" si="1"/>
        <v>96</v>
      </c>
      <c r="AF25" s="110">
        <v>2</v>
      </c>
      <c r="AG25" s="15">
        <v>96</v>
      </c>
      <c r="AH25" s="15">
        <v>96</v>
      </c>
      <c r="AI25" s="15">
        <v>95</v>
      </c>
      <c r="AJ25" s="15">
        <v>93</v>
      </c>
      <c r="AK25" s="15">
        <v>94</v>
      </c>
      <c r="AL25" s="15">
        <v>96</v>
      </c>
      <c r="AM25" s="15">
        <v>92</v>
      </c>
      <c r="AN25" s="16">
        <f t="shared" si="2"/>
        <v>94.571428571428569</v>
      </c>
      <c r="AO25" s="145">
        <v>91</v>
      </c>
    </row>
    <row r="26" spans="1:41" ht="18" customHeight="1">
      <c r="A26" s="147">
        <v>24</v>
      </c>
      <c r="B26" s="135" t="str">
        <f>VLOOKUP(A26,緊急聯絡!A$2:C$27,3,0)</f>
        <v>王姿涵</v>
      </c>
      <c r="C26" s="307">
        <v>95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8"/>
      <c r="S26" s="308">
        <v>98</v>
      </c>
      <c r="T26" s="308">
        <v>96</v>
      </c>
      <c r="U26" s="308">
        <f t="shared" si="0"/>
        <v>97</v>
      </c>
      <c r="V26" s="308">
        <v>97</v>
      </c>
      <c r="W26" s="308">
        <v>3</v>
      </c>
      <c r="X26" s="308">
        <v>95</v>
      </c>
      <c r="Y26" s="308">
        <v>88</v>
      </c>
      <c r="Z26" s="308">
        <v>93</v>
      </c>
      <c r="AA26" s="308">
        <v>91</v>
      </c>
      <c r="AB26" s="308">
        <v>93</v>
      </c>
      <c r="AC26" s="308">
        <v>93</v>
      </c>
      <c r="AD26" s="308">
        <v>92</v>
      </c>
      <c r="AE26" s="309">
        <f t="shared" si="1"/>
        <v>95.75</v>
      </c>
      <c r="AF26" s="110">
        <v>3</v>
      </c>
      <c r="AG26" s="15">
        <v>95</v>
      </c>
      <c r="AH26" s="15">
        <v>90</v>
      </c>
      <c r="AI26" s="15">
        <v>92</v>
      </c>
      <c r="AJ26" s="15">
        <v>91</v>
      </c>
      <c r="AK26" s="15">
        <v>93</v>
      </c>
      <c r="AL26" s="15">
        <v>95</v>
      </c>
      <c r="AM26" s="15">
        <v>95</v>
      </c>
      <c r="AN26" s="16">
        <f t="shared" si="2"/>
        <v>93</v>
      </c>
      <c r="AO26" s="145">
        <v>91</v>
      </c>
    </row>
    <row r="27" spans="1:41" ht="18" customHeight="1">
      <c r="A27" s="147">
        <v>25</v>
      </c>
      <c r="B27" s="135" t="str">
        <f>VLOOKUP(A27,緊急聯絡!A$2:C$27,3,0)</f>
        <v>林昱萱</v>
      </c>
      <c r="C27" s="307">
        <v>100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8"/>
      <c r="S27" s="308">
        <v>93</v>
      </c>
      <c r="T27" s="308">
        <v>90</v>
      </c>
      <c r="U27" s="308">
        <f t="shared" si="0"/>
        <v>91.5</v>
      </c>
      <c r="V27" s="308">
        <v>94</v>
      </c>
      <c r="W27" s="308">
        <v>2</v>
      </c>
      <c r="X27" s="308">
        <v>92</v>
      </c>
      <c r="Y27" s="308">
        <v>94</v>
      </c>
      <c r="Z27" s="308">
        <v>86</v>
      </c>
      <c r="AA27" s="308">
        <v>90</v>
      </c>
      <c r="AB27" s="308">
        <v>88</v>
      </c>
      <c r="AC27" s="308">
        <v>92</v>
      </c>
      <c r="AD27" s="308">
        <v>92</v>
      </c>
      <c r="AE27" s="309">
        <f t="shared" si="1"/>
        <v>93</v>
      </c>
      <c r="AF27" s="110">
        <v>2</v>
      </c>
      <c r="AG27" s="15">
        <v>92</v>
      </c>
      <c r="AH27" s="15">
        <v>95</v>
      </c>
      <c r="AI27" s="15">
        <v>94</v>
      </c>
      <c r="AJ27" s="15">
        <v>90</v>
      </c>
      <c r="AK27" s="15">
        <v>88</v>
      </c>
      <c r="AL27" s="15">
        <v>95</v>
      </c>
      <c r="AM27" s="15">
        <v>94</v>
      </c>
      <c r="AN27" s="16">
        <f t="shared" si="2"/>
        <v>92.571428571428569</v>
      </c>
      <c r="AO27" s="145">
        <v>91</v>
      </c>
    </row>
    <row r="28" spans="1:41" ht="18" customHeight="1">
      <c r="A28" s="147">
        <v>26</v>
      </c>
      <c r="B28" s="135" t="str">
        <f>VLOOKUP(A28,緊急聯絡!A$2:C$27,3,0)</f>
        <v>李文</v>
      </c>
      <c r="C28" s="307">
        <v>95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8"/>
      <c r="S28" s="308">
        <v>88</v>
      </c>
      <c r="T28" s="308">
        <v>91</v>
      </c>
      <c r="U28" s="308">
        <f t="shared" si="0"/>
        <v>89.5</v>
      </c>
      <c r="V28" s="308">
        <v>94.25</v>
      </c>
      <c r="W28" s="308">
        <v>2</v>
      </c>
      <c r="X28" s="308">
        <v>92</v>
      </c>
      <c r="Y28" s="308">
        <v>94</v>
      </c>
      <c r="Z28" s="308">
        <v>92</v>
      </c>
      <c r="AA28" s="308">
        <v>92</v>
      </c>
      <c r="AB28" s="308">
        <v>93</v>
      </c>
      <c r="AC28" s="308">
        <v>94</v>
      </c>
      <c r="AD28" s="308">
        <v>85</v>
      </c>
      <c r="AE28" s="309">
        <f t="shared" si="1"/>
        <v>94.03125</v>
      </c>
      <c r="AF28" s="110">
        <v>2</v>
      </c>
      <c r="AG28" s="15">
        <v>92</v>
      </c>
      <c r="AH28" s="15">
        <v>95</v>
      </c>
      <c r="AI28" s="15">
        <v>95</v>
      </c>
      <c r="AJ28" s="15">
        <v>92</v>
      </c>
      <c r="AK28" s="15">
        <v>93</v>
      </c>
      <c r="AL28" s="15">
        <v>96</v>
      </c>
      <c r="AM28" s="15">
        <v>85</v>
      </c>
      <c r="AN28" s="16">
        <f t="shared" si="2"/>
        <v>92.571428571428569</v>
      </c>
      <c r="AO28" s="145">
        <v>91</v>
      </c>
    </row>
    <row r="29" spans="1:41" ht="18" customHeight="1" thickBot="1">
      <c r="A29" s="217">
        <v>29</v>
      </c>
      <c r="B29" s="212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8"/>
      <c r="S29" s="308">
        <v>80</v>
      </c>
      <c r="T29" s="308"/>
      <c r="U29" s="308">
        <f t="shared" si="0"/>
        <v>80</v>
      </c>
      <c r="V29" s="308">
        <v>97</v>
      </c>
      <c r="W29" s="308">
        <v>2</v>
      </c>
      <c r="X29" s="308">
        <v>95</v>
      </c>
      <c r="Y29" s="308">
        <v>86</v>
      </c>
      <c r="Z29" s="308">
        <v>94</v>
      </c>
      <c r="AA29" s="308">
        <v>92</v>
      </c>
      <c r="AB29" s="308">
        <v>92</v>
      </c>
      <c r="AC29" s="308">
        <v>90</v>
      </c>
      <c r="AD29" s="308">
        <v>95</v>
      </c>
      <c r="AE29" s="309">
        <f t="shared" si="1"/>
        <v>94.625</v>
      </c>
      <c r="AF29" s="134">
        <v>2</v>
      </c>
      <c r="AG29" s="19">
        <v>93</v>
      </c>
      <c r="AH29" s="19">
        <v>92</v>
      </c>
      <c r="AI29" s="19">
        <v>95</v>
      </c>
      <c r="AJ29" s="19">
        <v>92</v>
      </c>
      <c r="AK29" s="19">
        <v>92</v>
      </c>
      <c r="AL29" s="19">
        <v>94</v>
      </c>
      <c r="AM29" s="19">
        <v>95</v>
      </c>
      <c r="AN29" s="16">
        <f t="shared" si="2"/>
        <v>93.285714285714292</v>
      </c>
      <c r="AO29" s="145">
        <v>91</v>
      </c>
    </row>
    <row r="30" spans="1:41" ht="18" thickTop="1" thickBot="1">
      <c r="A30" s="217">
        <v>30</v>
      </c>
      <c r="B30" s="212"/>
      <c r="C30" s="312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>
        <v>81</v>
      </c>
      <c r="T30" s="311"/>
      <c r="U30" s="311">
        <f>AVERAGE(L30:T30)</f>
        <v>81</v>
      </c>
      <c r="V30" s="311">
        <v>97</v>
      </c>
      <c r="W30" s="311">
        <v>2</v>
      </c>
      <c r="X30" s="311">
        <v>95</v>
      </c>
      <c r="Y30" s="311">
        <v>86</v>
      </c>
      <c r="Z30" s="311">
        <v>94</v>
      </c>
      <c r="AA30" s="311">
        <v>92</v>
      </c>
      <c r="AB30" s="311">
        <v>92</v>
      </c>
      <c r="AC30" s="311">
        <v>90</v>
      </c>
      <c r="AD30" s="311">
        <v>95</v>
      </c>
      <c r="AE30" s="313">
        <f>AVERAGE(V30,X30:AD30)+W30</f>
        <v>94.625</v>
      </c>
    </row>
    <row r="31" spans="1:41" ht="17.25" thickTop="1"/>
  </sheetData>
  <mergeCells count="2">
    <mergeCell ref="A1:B1"/>
    <mergeCell ref="S1:T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H31"/>
  <sheetViews>
    <sheetView workbookViewId="0">
      <selection activeCell="A3" sqref="A3:B30"/>
    </sheetView>
  </sheetViews>
  <sheetFormatPr defaultRowHeight="16.5"/>
  <cols>
    <col min="1" max="1" width="5" style="78" customWidth="1"/>
    <col min="2" max="2" width="7.625" style="78" customWidth="1"/>
    <col min="3" max="11" width="4.75" style="78" customWidth="1"/>
    <col min="12" max="19" width="4.75" style="145" customWidth="1"/>
    <col min="20" max="32" width="4.75" style="78" customWidth="1"/>
    <col min="33" max="16384" width="9" style="78"/>
  </cols>
  <sheetData>
    <row r="1" spans="1:33" ht="17.25" thickTop="1">
      <c r="A1" s="461">
        <v>303</v>
      </c>
      <c r="B1" s="462"/>
      <c r="C1" s="42"/>
      <c r="D1" s="42"/>
      <c r="E1" s="42"/>
      <c r="F1" s="42"/>
      <c r="G1" s="42"/>
      <c r="H1" s="42"/>
      <c r="I1" s="42"/>
      <c r="J1" s="21"/>
      <c r="K1" s="21"/>
      <c r="L1" s="21"/>
      <c r="M1" s="21"/>
      <c r="N1" s="21"/>
      <c r="O1" s="21"/>
      <c r="P1" s="21"/>
      <c r="Q1" s="21"/>
      <c r="R1" s="21"/>
      <c r="S1" s="2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2"/>
    </row>
    <row r="2" spans="1:33">
      <c r="A2" s="40" t="s">
        <v>102</v>
      </c>
      <c r="B2" s="14" t="s">
        <v>0</v>
      </c>
      <c r="C2" s="14">
        <v>10</v>
      </c>
      <c r="D2" s="14">
        <v>9</v>
      </c>
      <c r="E2" s="14">
        <v>13</v>
      </c>
      <c r="F2" s="14">
        <v>12</v>
      </c>
      <c r="G2" s="14"/>
      <c r="H2" s="14"/>
      <c r="I2" s="14"/>
      <c r="J2" s="14"/>
      <c r="K2" s="14"/>
      <c r="L2" s="14">
        <v>15</v>
      </c>
      <c r="M2" s="14">
        <v>16</v>
      </c>
      <c r="N2" s="14">
        <v>18</v>
      </c>
      <c r="O2" s="14">
        <v>19</v>
      </c>
      <c r="P2" s="14">
        <v>21</v>
      </c>
      <c r="Q2" s="14">
        <v>22</v>
      </c>
      <c r="R2" s="14">
        <v>23</v>
      </c>
      <c r="S2" s="14">
        <v>24</v>
      </c>
      <c r="T2" s="15" t="s">
        <v>574</v>
      </c>
      <c r="U2" s="15"/>
      <c r="V2" s="15">
        <v>403</v>
      </c>
      <c r="W2" s="15"/>
      <c r="X2" s="15"/>
      <c r="Y2" s="308"/>
      <c r="Z2" s="308"/>
      <c r="AA2" s="308"/>
      <c r="AB2" s="308"/>
      <c r="AC2" s="15"/>
      <c r="AD2" s="15"/>
      <c r="AE2" s="15"/>
      <c r="AF2" s="16"/>
    </row>
    <row r="3" spans="1:33" ht="18" customHeight="1">
      <c r="A3" s="147">
        <v>1</v>
      </c>
      <c r="B3" s="135" t="str">
        <f>VLOOKUP(A3,緊急聯絡!A$2:C$27,3,0)</f>
        <v>陳威劭</v>
      </c>
      <c r="C3" s="14">
        <v>93</v>
      </c>
      <c r="D3" s="14">
        <v>93</v>
      </c>
      <c r="E3" s="14">
        <v>98</v>
      </c>
      <c r="F3" s="14">
        <v>93</v>
      </c>
      <c r="G3" s="14"/>
      <c r="H3" s="14"/>
      <c r="I3" s="14"/>
      <c r="J3" s="14"/>
      <c r="K3" s="14">
        <f>AVERAGE(C3:J3)</f>
        <v>94.25</v>
      </c>
      <c r="L3" s="14">
        <v>93</v>
      </c>
      <c r="M3" s="14">
        <v>93</v>
      </c>
      <c r="N3" s="14">
        <v>93</v>
      </c>
      <c r="O3" s="14">
        <v>78</v>
      </c>
      <c r="P3" s="14">
        <v>93</v>
      </c>
      <c r="Q3" s="14">
        <v>93</v>
      </c>
      <c r="R3" s="58">
        <v>88</v>
      </c>
      <c r="S3" s="58">
        <v>93</v>
      </c>
      <c r="T3" s="15">
        <f>AVERAGE(L3:S3)</f>
        <v>90.5</v>
      </c>
      <c r="U3" s="15"/>
      <c r="V3" s="15">
        <v>93</v>
      </c>
      <c r="W3" s="15">
        <v>93</v>
      </c>
      <c r="X3" s="15">
        <v>93</v>
      </c>
      <c r="Y3" s="308">
        <v>73</v>
      </c>
      <c r="Z3" s="308">
        <v>93</v>
      </c>
      <c r="AA3" s="308">
        <v>93</v>
      </c>
      <c r="AB3" s="308">
        <v>88</v>
      </c>
      <c r="AC3" s="15">
        <v>93</v>
      </c>
      <c r="AD3" s="15">
        <v>93</v>
      </c>
      <c r="AE3" s="15">
        <v>93</v>
      </c>
      <c r="AF3" s="16">
        <v>93</v>
      </c>
      <c r="AG3" s="318">
        <f>AVERAGE(V3:AF3)</f>
        <v>90.727272727272734</v>
      </c>
    </row>
    <row r="4" spans="1:33" ht="18" customHeight="1">
      <c r="A4" s="147">
        <v>2</v>
      </c>
      <c r="B4" s="135" t="str">
        <f>VLOOKUP(A4,緊急聯絡!A$2:C$27,3,0)</f>
        <v>周宗慶</v>
      </c>
      <c r="C4" s="14">
        <v>93</v>
      </c>
      <c r="D4" s="14">
        <v>93</v>
      </c>
      <c r="E4" s="14">
        <v>98</v>
      </c>
      <c r="F4" s="14">
        <v>98</v>
      </c>
      <c r="G4" s="14"/>
      <c r="H4" s="14"/>
      <c r="I4" s="14"/>
      <c r="J4" s="14"/>
      <c r="K4" s="14">
        <f t="shared" ref="K4:K29" si="0">AVERAGE(C4:J4)</f>
        <v>95.5</v>
      </c>
      <c r="L4" s="14">
        <v>93</v>
      </c>
      <c r="M4" s="14">
        <v>98</v>
      </c>
      <c r="N4" s="14">
        <v>93</v>
      </c>
      <c r="O4" s="14">
        <v>98</v>
      </c>
      <c r="P4" s="14">
        <v>98</v>
      </c>
      <c r="Q4" s="14">
        <v>98</v>
      </c>
      <c r="R4" s="58">
        <v>88</v>
      </c>
      <c r="S4" s="58">
        <v>98</v>
      </c>
      <c r="T4" s="15">
        <f t="shared" ref="T4:T29" si="1">AVERAGE(L4:S4)</f>
        <v>95.5</v>
      </c>
      <c r="U4" s="15"/>
      <c r="V4" s="15">
        <v>93</v>
      </c>
      <c r="W4" s="15">
        <v>98</v>
      </c>
      <c r="X4" s="15">
        <v>93</v>
      </c>
      <c r="Y4" s="308">
        <v>98</v>
      </c>
      <c r="Z4" s="308">
        <v>98</v>
      </c>
      <c r="AA4" s="308">
        <v>98</v>
      </c>
      <c r="AB4" s="308">
        <v>98</v>
      </c>
      <c r="AC4" s="15">
        <v>98</v>
      </c>
      <c r="AD4" s="15">
        <v>98</v>
      </c>
      <c r="AE4" s="15">
        <v>93</v>
      </c>
      <c r="AF4" s="16">
        <v>98</v>
      </c>
      <c r="AG4" s="318">
        <f t="shared" ref="AG4:AG30" si="2">AVERAGE(V4:AF4)</f>
        <v>96.63636363636364</v>
      </c>
    </row>
    <row r="5" spans="1:33" ht="18" customHeight="1">
      <c r="A5" s="147">
        <v>3</v>
      </c>
      <c r="B5" s="135" t="str">
        <f>VLOOKUP(A5,緊急聯絡!A$2:C$27,3,0)</f>
        <v>林昱任</v>
      </c>
      <c r="C5" s="14">
        <v>98</v>
      </c>
      <c r="D5" s="14">
        <v>93</v>
      </c>
      <c r="E5" s="14">
        <v>98</v>
      </c>
      <c r="F5" s="14">
        <v>98</v>
      </c>
      <c r="G5" s="14"/>
      <c r="H5" s="14"/>
      <c r="I5" s="14"/>
      <c r="J5" s="14"/>
      <c r="K5" s="14">
        <f t="shared" si="0"/>
        <v>96.75</v>
      </c>
      <c r="L5" s="14">
        <v>93</v>
      </c>
      <c r="M5" s="14">
        <v>93</v>
      </c>
      <c r="N5" s="14">
        <v>93</v>
      </c>
      <c r="O5" s="14">
        <v>93</v>
      </c>
      <c r="P5" s="14">
        <v>93</v>
      </c>
      <c r="Q5" s="14">
        <v>88</v>
      </c>
      <c r="R5" s="58">
        <v>88</v>
      </c>
      <c r="S5" s="58">
        <v>88</v>
      </c>
      <c r="T5" s="15">
        <f t="shared" si="1"/>
        <v>91.125</v>
      </c>
      <c r="U5" s="15"/>
      <c r="V5" s="15">
        <v>93</v>
      </c>
      <c r="W5" s="15">
        <v>93</v>
      </c>
      <c r="X5" s="15">
        <v>93</v>
      </c>
      <c r="Y5" s="308">
        <v>93</v>
      </c>
      <c r="Z5" s="308">
        <v>93</v>
      </c>
      <c r="AA5" s="308">
        <v>88</v>
      </c>
      <c r="AB5" s="308">
        <v>98</v>
      </c>
      <c r="AC5" s="15">
        <v>88</v>
      </c>
      <c r="AD5" s="15">
        <v>93</v>
      </c>
      <c r="AE5" s="15">
        <v>93</v>
      </c>
      <c r="AF5" s="16">
        <v>83</v>
      </c>
      <c r="AG5" s="318">
        <f t="shared" si="2"/>
        <v>91.63636363636364</v>
      </c>
    </row>
    <row r="6" spans="1:33" ht="18" customHeight="1">
      <c r="A6" s="147">
        <v>4</v>
      </c>
      <c r="B6" s="135" t="str">
        <f>VLOOKUP(A6,緊急聯絡!A$2:C$27,3,0)</f>
        <v>李奎煜</v>
      </c>
      <c r="C6" s="14">
        <v>98</v>
      </c>
      <c r="D6" s="14">
        <v>93</v>
      </c>
      <c r="E6" s="14">
        <v>98</v>
      </c>
      <c r="F6" s="14">
        <v>93</v>
      </c>
      <c r="G6" s="14"/>
      <c r="H6" s="14"/>
      <c r="I6" s="14"/>
      <c r="J6" s="14"/>
      <c r="K6" s="14">
        <f t="shared" si="0"/>
        <v>95.5</v>
      </c>
      <c r="L6" s="14">
        <v>98</v>
      </c>
      <c r="M6" s="14">
        <v>93</v>
      </c>
      <c r="N6" s="14">
        <v>98</v>
      </c>
      <c r="O6" s="14">
        <v>73</v>
      </c>
      <c r="P6" s="14">
        <v>93</v>
      </c>
      <c r="Q6" s="14">
        <v>98</v>
      </c>
      <c r="R6" s="58">
        <v>98</v>
      </c>
      <c r="S6" s="58">
        <v>98</v>
      </c>
      <c r="T6" s="15">
        <f t="shared" si="1"/>
        <v>93.625</v>
      </c>
      <c r="U6" s="15"/>
      <c r="V6" s="15">
        <v>98</v>
      </c>
      <c r="W6" s="15">
        <v>93</v>
      </c>
      <c r="X6" s="15">
        <v>98</v>
      </c>
      <c r="Y6" s="308">
        <v>73</v>
      </c>
      <c r="Z6" s="308">
        <v>93</v>
      </c>
      <c r="AA6" s="308">
        <v>98</v>
      </c>
      <c r="AB6" s="308">
        <v>98</v>
      </c>
      <c r="AC6" s="15">
        <v>98</v>
      </c>
      <c r="AD6" s="15">
        <v>98</v>
      </c>
      <c r="AE6" s="15">
        <v>98</v>
      </c>
      <c r="AF6" s="16">
        <v>93</v>
      </c>
      <c r="AG6" s="318">
        <f t="shared" si="2"/>
        <v>94.36363636363636</v>
      </c>
    </row>
    <row r="7" spans="1:33" ht="18" customHeight="1">
      <c r="A7" s="147">
        <v>5</v>
      </c>
      <c r="B7" s="135" t="str">
        <f>VLOOKUP(A7,緊急聯絡!A$2:C$27,3,0)</f>
        <v>葉翃均</v>
      </c>
      <c r="C7" s="14">
        <v>88</v>
      </c>
      <c r="D7" s="14">
        <v>93</v>
      </c>
      <c r="E7" s="14">
        <v>98</v>
      </c>
      <c r="F7" s="14">
        <v>93</v>
      </c>
      <c r="G7" s="14"/>
      <c r="H7" s="14"/>
      <c r="I7" s="14"/>
      <c r="J7" s="14"/>
      <c r="K7" s="14">
        <f t="shared" si="0"/>
        <v>93</v>
      </c>
      <c r="L7" s="14">
        <v>93</v>
      </c>
      <c r="M7" s="14">
        <v>93</v>
      </c>
      <c r="N7" s="14">
        <v>93</v>
      </c>
      <c r="O7" s="14">
        <v>93</v>
      </c>
      <c r="P7" s="14">
        <v>93</v>
      </c>
      <c r="Q7" s="14">
        <v>73</v>
      </c>
      <c r="R7" s="58">
        <v>73</v>
      </c>
      <c r="S7" s="58">
        <v>93</v>
      </c>
      <c r="T7" s="15">
        <f t="shared" si="1"/>
        <v>88</v>
      </c>
      <c r="U7" s="15"/>
      <c r="V7" s="15">
        <v>93</v>
      </c>
      <c r="W7" s="15">
        <v>83</v>
      </c>
      <c r="X7" s="15">
        <v>93</v>
      </c>
      <c r="Y7" s="308">
        <v>93</v>
      </c>
      <c r="Z7" s="308">
        <v>93</v>
      </c>
      <c r="AA7" s="308">
        <v>93</v>
      </c>
      <c r="AB7" s="308">
        <v>93</v>
      </c>
      <c r="AC7" s="15">
        <v>93</v>
      </c>
      <c r="AD7" s="15">
        <v>93</v>
      </c>
      <c r="AE7" s="15">
        <v>93</v>
      </c>
      <c r="AF7" s="16">
        <v>93</v>
      </c>
      <c r="AG7" s="318">
        <f t="shared" si="2"/>
        <v>92.090909090909093</v>
      </c>
    </row>
    <row r="8" spans="1:33" ht="18" customHeight="1">
      <c r="A8" s="147">
        <v>6</v>
      </c>
      <c r="B8" s="135" t="str">
        <f>VLOOKUP(A8,緊急聯絡!A$2:C$27,3,0)</f>
        <v>王奕勳</v>
      </c>
      <c r="C8" s="14">
        <v>93</v>
      </c>
      <c r="D8" s="14">
        <v>93</v>
      </c>
      <c r="E8" s="14">
        <v>93</v>
      </c>
      <c r="F8" s="14">
        <v>93</v>
      </c>
      <c r="G8" s="14"/>
      <c r="H8" s="14"/>
      <c r="I8" s="14"/>
      <c r="J8" s="14"/>
      <c r="K8" s="14">
        <f t="shared" si="0"/>
        <v>93</v>
      </c>
      <c r="L8" s="14">
        <v>83</v>
      </c>
      <c r="M8" s="14">
        <v>93</v>
      </c>
      <c r="N8" s="14">
        <v>93</v>
      </c>
      <c r="O8" s="14">
        <v>93</v>
      </c>
      <c r="P8" s="14">
        <v>93</v>
      </c>
      <c r="Q8" s="14">
        <v>93</v>
      </c>
      <c r="R8" s="58">
        <v>93</v>
      </c>
      <c r="S8" s="58">
        <v>93</v>
      </c>
      <c r="T8" s="15">
        <f t="shared" si="1"/>
        <v>91.75</v>
      </c>
      <c r="U8" s="15"/>
      <c r="V8" s="15">
        <v>83</v>
      </c>
      <c r="W8" s="15">
        <v>93</v>
      </c>
      <c r="X8" s="15">
        <v>93</v>
      </c>
      <c r="Y8" s="308">
        <v>93</v>
      </c>
      <c r="Z8" s="308">
        <v>93</v>
      </c>
      <c r="AA8" s="308">
        <v>93</v>
      </c>
      <c r="AB8" s="308">
        <v>93</v>
      </c>
      <c r="AC8" s="15">
        <v>93</v>
      </c>
      <c r="AD8" s="15">
        <v>93</v>
      </c>
      <c r="AE8" s="15">
        <v>93</v>
      </c>
      <c r="AF8" s="16">
        <v>93</v>
      </c>
      <c r="AG8" s="318">
        <f t="shared" si="2"/>
        <v>92.090909090909093</v>
      </c>
    </row>
    <row r="9" spans="1:33" ht="18" customHeight="1">
      <c r="A9" s="147">
        <v>7</v>
      </c>
      <c r="B9" s="135" t="str">
        <f>VLOOKUP(A9,緊急聯絡!A$2:C$27,3,0)</f>
        <v>葉彥均</v>
      </c>
      <c r="C9" s="14">
        <v>88</v>
      </c>
      <c r="D9" s="14">
        <v>93</v>
      </c>
      <c r="E9" s="14">
        <v>98</v>
      </c>
      <c r="F9" s="14">
        <v>93</v>
      </c>
      <c r="G9" s="14"/>
      <c r="H9" s="14"/>
      <c r="I9" s="14"/>
      <c r="J9" s="14"/>
      <c r="K9" s="14">
        <f t="shared" si="0"/>
        <v>93</v>
      </c>
      <c r="L9" s="14">
        <v>88</v>
      </c>
      <c r="M9" s="14">
        <v>93</v>
      </c>
      <c r="N9" s="14">
        <v>98</v>
      </c>
      <c r="O9" s="14">
        <v>93</v>
      </c>
      <c r="P9" s="14">
        <v>93</v>
      </c>
      <c r="Q9" s="14">
        <v>88</v>
      </c>
      <c r="R9" s="58">
        <v>93</v>
      </c>
      <c r="S9" s="58">
        <v>78</v>
      </c>
      <c r="T9" s="15">
        <f t="shared" si="1"/>
        <v>90.5</v>
      </c>
      <c r="U9" s="15"/>
      <c r="V9" s="15">
        <v>88</v>
      </c>
      <c r="W9" s="15">
        <v>93</v>
      </c>
      <c r="X9" s="15">
        <v>98</v>
      </c>
      <c r="Y9" s="308">
        <v>93</v>
      </c>
      <c r="Z9" s="308">
        <v>93</v>
      </c>
      <c r="AA9" s="308">
        <v>88</v>
      </c>
      <c r="AB9" s="308">
        <v>93</v>
      </c>
      <c r="AC9" s="15">
        <v>98</v>
      </c>
      <c r="AD9" s="15">
        <v>100</v>
      </c>
      <c r="AE9" s="15">
        <v>98</v>
      </c>
      <c r="AF9" s="16">
        <v>88</v>
      </c>
      <c r="AG9" s="318">
        <f t="shared" si="2"/>
        <v>93.63636363636364</v>
      </c>
    </row>
    <row r="10" spans="1:33" ht="18" customHeight="1">
      <c r="A10" s="147">
        <v>8</v>
      </c>
      <c r="B10" s="135" t="str">
        <f>VLOOKUP(A10,緊急聯絡!A$2:C$27,3,0)</f>
        <v>洪楷珅</v>
      </c>
      <c r="C10" s="14">
        <v>93</v>
      </c>
      <c r="D10" s="14">
        <v>98</v>
      </c>
      <c r="E10" s="14">
        <v>98</v>
      </c>
      <c r="F10" s="14">
        <v>98</v>
      </c>
      <c r="G10" s="14"/>
      <c r="H10" s="14"/>
      <c r="I10" s="14"/>
      <c r="J10" s="14"/>
      <c r="K10" s="14">
        <f t="shared" si="0"/>
        <v>96.75</v>
      </c>
      <c r="L10" s="14">
        <v>93</v>
      </c>
      <c r="M10" s="14">
        <v>93</v>
      </c>
      <c r="N10" s="14">
        <v>93</v>
      </c>
      <c r="O10" s="14">
        <v>83</v>
      </c>
      <c r="P10" s="14">
        <v>93</v>
      </c>
      <c r="Q10" s="14">
        <v>93</v>
      </c>
      <c r="R10" s="58">
        <v>93</v>
      </c>
      <c r="S10" s="58">
        <v>93</v>
      </c>
      <c r="T10" s="15">
        <f t="shared" si="1"/>
        <v>91.75</v>
      </c>
      <c r="U10" s="15"/>
      <c r="V10" s="15">
        <v>93</v>
      </c>
      <c r="W10" s="15">
        <v>93</v>
      </c>
      <c r="X10" s="15">
        <v>93</v>
      </c>
      <c r="Y10" s="308">
        <v>83</v>
      </c>
      <c r="Z10" s="308">
        <v>93</v>
      </c>
      <c r="AA10" s="308">
        <v>93</v>
      </c>
      <c r="AB10" s="308">
        <v>93</v>
      </c>
      <c r="AC10" s="15">
        <v>93</v>
      </c>
      <c r="AD10" s="15">
        <v>93</v>
      </c>
      <c r="AE10" s="15">
        <v>98</v>
      </c>
      <c r="AF10" s="16">
        <v>93</v>
      </c>
      <c r="AG10" s="318">
        <f t="shared" si="2"/>
        <v>92.545454545454547</v>
      </c>
    </row>
    <row r="11" spans="1:33" ht="18" customHeight="1">
      <c r="A11" s="147">
        <v>9</v>
      </c>
      <c r="B11" s="135" t="str">
        <f>VLOOKUP(A11,緊急聯絡!A$2:C$27,3,0)</f>
        <v>吳承哲</v>
      </c>
      <c r="C11" s="14">
        <v>90</v>
      </c>
      <c r="D11" s="14">
        <v>98</v>
      </c>
      <c r="E11" s="14">
        <v>98</v>
      </c>
      <c r="F11" s="14">
        <v>98</v>
      </c>
      <c r="G11" s="14"/>
      <c r="H11" s="14"/>
      <c r="I11" s="14"/>
      <c r="J11" s="14"/>
      <c r="K11" s="14">
        <f t="shared" si="0"/>
        <v>96</v>
      </c>
      <c r="L11" s="14">
        <v>98</v>
      </c>
      <c r="M11" s="14">
        <v>98</v>
      </c>
      <c r="N11" s="14">
        <v>98</v>
      </c>
      <c r="O11" s="14">
        <v>88</v>
      </c>
      <c r="P11" s="14">
        <v>98</v>
      </c>
      <c r="Q11" s="14">
        <v>93</v>
      </c>
      <c r="R11" s="58">
        <v>93</v>
      </c>
      <c r="S11" s="58">
        <v>98</v>
      </c>
      <c r="T11" s="15">
        <f t="shared" si="1"/>
        <v>95.5</v>
      </c>
      <c r="U11" s="15"/>
      <c r="V11" s="15">
        <v>98</v>
      </c>
      <c r="W11" s="15">
        <v>98</v>
      </c>
      <c r="X11" s="15">
        <v>98</v>
      </c>
      <c r="Y11" s="308">
        <v>83</v>
      </c>
      <c r="Z11" s="308">
        <v>98</v>
      </c>
      <c r="AA11" s="308">
        <v>93</v>
      </c>
      <c r="AB11" s="308">
        <v>93</v>
      </c>
      <c r="AC11" s="15">
        <v>98</v>
      </c>
      <c r="AD11" s="15">
        <v>98</v>
      </c>
      <c r="AE11" s="15">
        <v>93</v>
      </c>
      <c r="AF11" s="16"/>
      <c r="AG11" s="318">
        <f t="shared" si="2"/>
        <v>95</v>
      </c>
    </row>
    <row r="12" spans="1:33" ht="18" customHeight="1">
      <c r="A12" s="147">
        <v>10</v>
      </c>
      <c r="B12" s="135" t="str">
        <f>VLOOKUP(A12,緊急聯絡!A$2:C$27,3,0)</f>
        <v>李宥霆</v>
      </c>
      <c r="C12" s="14">
        <v>93</v>
      </c>
      <c r="D12" s="14">
        <v>98</v>
      </c>
      <c r="E12" s="14">
        <v>93</v>
      </c>
      <c r="F12" s="14">
        <v>88</v>
      </c>
      <c r="G12" s="14"/>
      <c r="H12" s="14"/>
      <c r="I12" s="14"/>
      <c r="J12" s="14"/>
      <c r="K12" s="14">
        <f t="shared" si="0"/>
        <v>93</v>
      </c>
      <c r="L12" s="14">
        <v>93</v>
      </c>
      <c r="M12" s="14">
        <v>88</v>
      </c>
      <c r="N12" s="14">
        <v>93</v>
      </c>
      <c r="O12" s="14">
        <v>93</v>
      </c>
      <c r="P12" s="14">
        <v>88</v>
      </c>
      <c r="Q12" s="14">
        <v>93</v>
      </c>
      <c r="R12" s="58">
        <v>88</v>
      </c>
      <c r="S12" s="58">
        <v>88</v>
      </c>
      <c r="T12" s="15">
        <f t="shared" si="1"/>
        <v>90.5</v>
      </c>
      <c r="U12" s="15"/>
      <c r="V12" s="15">
        <v>93</v>
      </c>
      <c r="W12" s="15">
        <v>88</v>
      </c>
      <c r="X12" s="15">
        <v>93</v>
      </c>
      <c r="Y12" s="308">
        <v>93</v>
      </c>
      <c r="Z12" s="308">
        <v>88</v>
      </c>
      <c r="AA12" s="308">
        <v>93</v>
      </c>
      <c r="AB12" s="308">
        <v>88</v>
      </c>
      <c r="AC12" s="15">
        <v>93</v>
      </c>
      <c r="AD12" s="15">
        <v>93</v>
      </c>
      <c r="AE12" s="15">
        <v>88</v>
      </c>
      <c r="AF12" s="16">
        <v>88</v>
      </c>
      <c r="AG12" s="318">
        <f t="shared" si="2"/>
        <v>90.727272727272734</v>
      </c>
    </row>
    <row r="13" spans="1:33" ht="18" customHeight="1">
      <c r="A13" s="147">
        <v>11</v>
      </c>
      <c r="B13" s="135" t="str">
        <f>VLOOKUP(A13,緊急聯絡!A$2:C$27,3,0)</f>
        <v>柯皓哲</v>
      </c>
      <c r="C13" s="14">
        <v>98</v>
      </c>
      <c r="D13" s="14">
        <v>93</v>
      </c>
      <c r="E13" s="14">
        <v>98</v>
      </c>
      <c r="F13" s="14">
        <v>93</v>
      </c>
      <c r="G13" s="14"/>
      <c r="H13" s="14"/>
      <c r="I13" s="14"/>
      <c r="J13" s="14"/>
      <c r="K13" s="14">
        <f t="shared" si="0"/>
        <v>95.5</v>
      </c>
      <c r="L13" s="14">
        <v>98</v>
      </c>
      <c r="M13" s="14">
        <v>93</v>
      </c>
      <c r="N13" s="14">
        <v>98</v>
      </c>
      <c r="O13" s="14">
        <v>88</v>
      </c>
      <c r="P13" s="14">
        <v>98</v>
      </c>
      <c r="Q13" s="14">
        <v>93</v>
      </c>
      <c r="R13" s="58">
        <v>88</v>
      </c>
      <c r="S13" s="58">
        <v>93</v>
      </c>
      <c r="T13" s="15">
        <f t="shared" si="1"/>
        <v>93.625</v>
      </c>
      <c r="U13" s="15"/>
      <c r="V13" s="15">
        <v>98</v>
      </c>
      <c r="W13" s="15">
        <v>93</v>
      </c>
      <c r="X13" s="15">
        <v>98</v>
      </c>
      <c r="Y13" s="308">
        <v>88</v>
      </c>
      <c r="Z13" s="308">
        <v>98</v>
      </c>
      <c r="AA13" s="308">
        <v>93</v>
      </c>
      <c r="AB13" s="308">
        <v>88</v>
      </c>
      <c r="AC13" s="15">
        <v>93</v>
      </c>
      <c r="AD13" s="15">
        <v>93</v>
      </c>
      <c r="AE13" s="15">
        <v>98</v>
      </c>
      <c r="AF13" s="16">
        <v>98</v>
      </c>
      <c r="AG13" s="318">
        <f t="shared" si="2"/>
        <v>94.36363636363636</v>
      </c>
    </row>
    <row r="14" spans="1:33" ht="18" customHeight="1">
      <c r="A14" s="147">
        <v>12</v>
      </c>
      <c r="B14" s="135" t="str">
        <f>VLOOKUP(A14,緊急聯絡!A$2:C$27,3,0)</f>
        <v>魏宇謙</v>
      </c>
      <c r="C14" s="14">
        <v>98</v>
      </c>
      <c r="D14" s="14">
        <v>93</v>
      </c>
      <c r="E14" s="14">
        <v>93</v>
      </c>
      <c r="F14" s="14">
        <v>98</v>
      </c>
      <c r="G14" s="14"/>
      <c r="H14" s="14"/>
      <c r="I14" s="14"/>
      <c r="J14" s="14"/>
      <c r="K14" s="14">
        <f t="shared" si="0"/>
        <v>95.5</v>
      </c>
      <c r="L14" s="14">
        <v>98</v>
      </c>
      <c r="M14" s="14">
        <v>93</v>
      </c>
      <c r="N14" s="14">
        <v>98</v>
      </c>
      <c r="O14" s="14">
        <v>93</v>
      </c>
      <c r="P14" s="14">
        <v>98</v>
      </c>
      <c r="Q14" s="14">
        <v>93</v>
      </c>
      <c r="R14" s="58">
        <v>98</v>
      </c>
      <c r="S14" s="58">
        <v>93</v>
      </c>
      <c r="T14" s="15">
        <f t="shared" si="1"/>
        <v>95.5</v>
      </c>
      <c r="U14" s="15"/>
      <c r="V14" s="15">
        <v>98</v>
      </c>
      <c r="W14" s="15">
        <v>93</v>
      </c>
      <c r="X14" s="15">
        <v>98</v>
      </c>
      <c r="Y14" s="308">
        <v>93</v>
      </c>
      <c r="Z14" s="308">
        <v>98</v>
      </c>
      <c r="AA14" s="308">
        <v>93</v>
      </c>
      <c r="AB14" s="308">
        <v>98</v>
      </c>
      <c r="AC14" s="15">
        <v>93</v>
      </c>
      <c r="AD14" s="15">
        <v>98</v>
      </c>
      <c r="AE14" s="15">
        <v>98</v>
      </c>
      <c r="AF14" s="16">
        <v>98</v>
      </c>
      <c r="AG14" s="318">
        <f t="shared" si="2"/>
        <v>96.181818181818187</v>
      </c>
    </row>
    <row r="15" spans="1:33" ht="18" customHeight="1">
      <c r="A15" s="147">
        <v>13</v>
      </c>
      <c r="B15" s="135" t="str">
        <f>VLOOKUP(A15,緊急聯絡!A$2:C$27,3,0)</f>
        <v>林季曄</v>
      </c>
      <c r="C15" s="14">
        <v>98</v>
      </c>
      <c r="D15" s="14">
        <v>93</v>
      </c>
      <c r="E15" s="14">
        <v>98</v>
      </c>
      <c r="F15" s="14">
        <v>98</v>
      </c>
      <c r="G15" s="14"/>
      <c r="H15" s="14"/>
      <c r="I15" s="14"/>
      <c r="J15" s="14"/>
      <c r="K15" s="14">
        <f t="shared" si="0"/>
        <v>96.75</v>
      </c>
      <c r="L15" s="14">
        <v>93</v>
      </c>
      <c r="M15" s="14">
        <v>98</v>
      </c>
      <c r="N15" s="14">
        <v>93</v>
      </c>
      <c r="O15" s="14">
        <v>93</v>
      </c>
      <c r="P15" s="14">
        <v>98</v>
      </c>
      <c r="Q15" s="14">
        <v>98</v>
      </c>
      <c r="R15" s="58">
        <v>98</v>
      </c>
      <c r="S15" s="58">
        <v>98</v>
      </c>
      <c r="T15" s="15">
        <f t="shared" si="1"/>
        <v>96.125</v>
      </c>
      <c r="U15" s="15"/>
      <c r="V15" s="15">
        <v>93</v>
      </c>
      <c r="W15" s="15">
        <v>98</v>
      </c>
      <c r="X15" s="15">
        <v>93</v>
      </c>
      <c r="Y15" s="308">
        <v>93</v>
      </c>
      <c r="Z15" s="308">
        <v>98</v>
      </c>
      <c r="AA15" s="308">
        <v>98</v>
      </c>
      <c r="AB15" s="308">
        <v>98</v>
      </c>
      <c r="AC15" s="15">
        <v>98</v>
      </c>
      <c r="AD15" s="15">
        <v>98</v>
      </c>
      <c r="AE15" s="15">
        <v>93</v>
      </c>
      <c r="AF15" s="16">
        <v>98</v>
      </c>
      <c r="AG15" s="318">
        <f t="shared" si="2"/>
        <v>96.181818181818187</v>
      </c>
    </row>
    <row r="16" spans="1:33" ht="18" customHeight="1">
      <c r="A16" s="147">
        <v>14</v>
      </c>
      <c r="B16" s="135" t="str">
        <f>VLOOKUP(A16,緊急聯絡!A$2:C$27,3,0)</f>
        <v>高翊庭</v>
      </c>
      <c r="C16" s="14">
        <v>93</v>
      </c>
      <c r="D16" s="14">
        <v>93</v>
      </c>
      <c r="E16" s="14">
        <v>98</v>
      </c>
      <c r="F16" s="14">
        <v>98</v>
      </c>
      <c r="G16" s="14"/>
      <c r="H16" s="14"/>
      <c r="I16" s="14"/>
      <c r="J16" s="14"/>
      <c r="K16" s="14">
        <f t="shared" si="0"/>
        <v>95.5</v>
      </c>
      <c r="L16" s="14">
        <v>93</v>
      </c>
      <c r="M16" s="14">
        <v>98</v>
      </c>
      <c r="N16" s="14">
        <v>93</v>
      </c>
      <c r="O16" s="14">
        <v>93</v>
      </c>
      <c r="P16" s="14">
        <v>98</v>
      </c>
      <c r="Q16" s="14">
        <v>98</v>
      </c>
      <c r="R16" s="58">
        <v>93</v>
      </c>
      <c r="S16" s="58">
        <v>98</v>
      </c>
      <c r="T16" s="15">
        <f t="shared" si="1"/>
        <v>95.5</v>
      </c>
      <c r="U16" s="15"/>
      <c r="V16" s="15">
        <v>93</v>
      </c>
      <c r="W16" s="15">
        <v>98</v>
      </c>
      <c r="X16" s="15">
        <v>93</v>
      </c>
      <c r="Y16" s="308">
        <v>93</v>
      </c>
      <c r="Z16" s="308">
        <v>98</v>
      </c>
      <c r="AA16" s="308">
        <v>98</v>
      </c>
      <c r="AB16" s="308">
        <v>93</v>
      </c>
      <c r="AC16" s="15">
        <v>98</v>
      </c>
      <c r="AD16" s="15">
        <v>98</v>
      </c>
      <c r="AE16" s="15">
        <v>98</v>
      </c>
      <c r="AF16" s="16">
        <v>98</v>
      </c>
      <c r="AG16" s="318">
        <f t="shared" si="2"/>
        <v>96.181818181818187</v>
      </c>
    </row>
    <row r="17" spans="1:34" ht="18" customHeight="1">
      <c r="A17" s="147">
        <v>15</v>
      </c>
      <c r="B17" s="135" t="str">
        <f>VLOOKUP(A17,緊急聯絡!A$2:C$27,3,0)</f>
        <v>藍彩華</v>
      </c>
      <c r="C17" s="14">
        <v>98</v>
      </c>
      <c r="D17" s="14">
        <v>93</v>
      </c>
      <c r="E17" s="14">
        <v>98</v>
      </c>
      <c r="F17" s="14">
        <v>98</v>
      </c>
      <c r="G17" s="14"/>
      <c r="H17" s="14"/>
      <c r="I17" s="14"/>
      <c r="J17" s="14"/>
      <c r="K17" s="14">
        <f t="shared" si="0"/>
        <v>96.75</v>
      </c>
      <c r="L17" s="14">
        <v>93</v>
      </c>
      <c r="M17" s="14">
        <v>93</v>
      </c>
      <c r="N17" s="14">
        <v>98</v>
      </c>
      <c r="O17" s="14">
        <v>93</v>
      </c>
      <c r="P17" s="14">
        <v>93</v>
      </c>
      <c r="Q17" s="14">
        <v>93</v>
      </c>
      <c r="R17" s="58">
        <v>93</v>
      </c>
      <c r="S17" s="58">
        <v>98</v>
      </c>
      <c r="T17" s="15">
        <f t="shared" si="1"/>
        <v>94.25</v>
      </c>
      <c r="U17" s="15"/>
      <c r="V17" s="15">
        <v>93</v>
      </c>
      <c r="W17" s="15">
        <v>93</v>
      </c>
      <c r="X17" s="15">
        <v>98</v>
      </c>
      <c r="Y17" s="308">
        <v>93</v>
      </c>
      <c r="Z17" s="308">
        <v>93</v>
      </c>
      <c r="AA17" s="308">
        <v>93</v>
      </c>
      <c r="AB17" s="308">
        <v>93</v>
      </c>
      <c r="AC17" s="15">
        <v>98</v>
      </c>
      <c r="AD17" s="15">
        <v>98</v>
      </c>
      <c r="AE17" s="15">
        <v>93</v>
      </c>
      <c r="AF17" s="16">
        <v>93</v>
      </c>
      <c r="AG17" s="318">
        <f t="shared" si="2"/>
        <v>94.36363636363636</v>
      </c>
    </row>
    <row r="18" spans="1:34" ht="18" customHeight="1">
      <c r="A18" s="147">
        <v>16</v>
      </c>
      <c r="B18" s="135" t="str">
        <f>VLOOKUP(A18,緊急聯絡!A$2:C$27,3,0)</f>
        <v>曾琛晞</v>
      </c>
      <c r="C18" s="14">
        <v>98</v>
      </c>
      <c r="D18" s="14">
        <v>98</v>
      </c>
      <c r="E18" s="14">
        <v>93</v>
      </c>
      <c r="F18" s="14">
        <v>98</v>
      </c>
      <c r="G18" s="14"/>
      <c r="H18" s="14"/>
      <c r="I18" s="14"/>
      <c r="J18" s="14"/>
      <c r="K18" s="14">
        <f t="shared" si="0"/>
        <v>96.75</v>
      </c>
      <c r="L18" s="14">
        <v>98</v>
      </c>
      <c r="M18" s="14">
        <v>98</v>
      </c>
      <c r="N18" s="14">
        <v>98</v>
      </c>
      <c r="O18" s="14">
        <v>93</v>
      </c>
      <c r="P18" s="14">
        <v>98</v>
      </c>
      <c r="Q18" s="14">
        <v>93</v>
      </c>
      <c r="R18" s="58">
        <v>98</v>
      </c>
      <c r="S18" s="58">
        <v>98</v>
      </c>
      <c r="T18" s="15">
        <f t="shared" si="1"/>
        <v>96.75</v>
      </c>
      <c r="U18" s="15"/>
      <c r="V18" s="15">
        <v>98</v>
      </c>
      <c r="W18" s="15">
        <v>98</v>
      </c>
      <c r="X18" s="15">
        <v>98</v>
      </c>
      <c r="Y18" s="308">
        <v>98</v>
      </c>
      <c r="Z18" s="308">
        <v>93</v>
      </c>
      <c r="AA18" s="308">
        <v>98</v>
      </c>
      <c r="AB18" s="308">
        <v>98</v>
      </c>
      <c r="AC18" s="15">
        <v>93</v>
      </c>
      <c r="AD18" s="15">
        <v>98</v>
      </c>
      <c r="AE18" s="15">
        <v>98</v>
      </c>
      <c r="AF18" s="16">
        <v>98</v>
      </c>
      <c r="AG18" s="318">
        <f t="shared" si="2"/>
        <v>97.090909090909093</v>
      </c>
    </row>
    <row r="19" spans="1:34" ht="18" customHeight="1">
      <c r="A19" s="147">
        <v>17</v>
      </c>
      <c r="B19" s="135" t="str">
        <f>VLOOKUP(A19,緊急聯絡!A$2:C$27,3,0)</f>
        <v>張智函</v>
      </c>
      <c r="C19" s="14">
        <v>93</v>
      </c>
      <c r="D19" s="14">
        <v>98</v>
      </c>
      <c r="E19" s="14">
        <v>98</v>
      </c>
      <c r="F19" s="14">
        <v>98</v>
      </c>
      <c r="G19" s="14"/>
      <c r="H19" s="14"/>
      <c r="I19" s="14"/>
      <c r="J19" s="14"/>
      <c r="K19" s="14">
        <f t="shared" si="0"/>
        <v>96.75</v>
      </c>
      <c r="L19" s="14">
        <v>93</v>
      </c>
      <c r="M19" s="14">
        <v>98</v>
      </c>
      <c r="N19" s="14">
        <v>93</v>
      </c>
      <c r="O19" s="14">
        <v>88</v>
      </c>
      <c r="P19" s="14">
        <v>98</v>
      </c>
      <c r="Q19" s="14">
        <v>93</v>
      </c>
      <c r="R19" s="58">
        <v>98</v>
      </c>
      <c r="S19" s="58">
        <v>98</v>
      </c>
      <c r="T19" s="15">
        <f t="shared" si="1"/>
        <v>94.875</v>
      </c>
      <c r="U19" s="15"/>
      <c r="V19" s="15">
        <v>93</v>
      </c>
      <c r="W19" s="15">
        <v>98</v>
      </c>
      <c r="X19" s="15">
        <v>93</v>
      </c>
      <c r="Y19" s="308">
        <v>83</v>
      </c>
      <c r="Z19" s="308">
        <v>98</v>
      </c>
      <c r="AA19" s="308">
        <v>93</v>
      </c>
      <c r="AB19" s="308">
        <v>98</v>
      </c>
      <c r="AC19" s="15">
        <v>98</v>
      </c>
      <c r="AD19" s="15">
        <v>98</v>
      </c>
      <c r="AE19" s="15">
        <v>98</v>
      </c>
      <c r="AF19" s="16">
        <v>98</v>
      </c>
      <c r="AG19" s="318">
        <f t="shared" si="2"/>
        <v>95.272727272727266</v>
      </c>
    </row>
    <row r="20" spans="1:34" ht="18" customHeight="1">
      <c r="A20" s="147">
        <v>18</v>
      </c>
      <c r="B20" s="135" t="str">
        <f>VLOOKUP(A20,緊急聯絡!A$2:C$27,3,0)</f>
        <v>許凌菲</v>
      </c>
      <c r="C20" s="14">
        <v>98</v>
      </c>
      <c r="D20" s="14">
        <v>98</v>
      </c>
      <c r="E20" s="14">
        <v>98</v>
      </c>
      <c r="F20" s="14">
        <v>93</v>
      </c>
      <c r="G20" s="14"/>
      <c r="H20" s="14"/>
      <c r="I20" s="14"/>
      <c r="J20" s="14"/>
      <c r="K20" s="14">
        <f t="shared" si="0"/>
        <v>96.75</v>
      </c>
      <c r="L20" s="14">
        <v>98</v>
      </c>
      <c r="M20" s="14">
        <v>98</v>
      </c>
      <c r="N20" s="14">
        <v>98</v>
      </c>
      <c r="O20" s="14">
        <v>93</v>
      </c>
      <c r="P20" s="14">
        <v>93</v>
      </c>
      <c r="Q20" s="14">
        <v>98</v>
      </c>
      <c r="R20" s="58">
        <v>93</v>
      </c>
      <c r="S20" s="58">
        <v>98</v>
      </c>
      <c r="T20" s="15">
        <f t="shared" si="1"/>
        <v>96.125</v>
      </c>
      <c r="U20" s="15"/>
      <c r="V20" s="15">
        <v>98</v>
      </c>
      <c r="W20" s="15">
        <v>98</v>
      </c>
      <c r="X20" s="15">
        <v>98</v>
      </c>
      <c r="Y20" s="308">
        <v>93</v>
      </c>
      <c r="Z20" s="308">
        <v>93</v>
      </c>
      <c r="AA20" s="308">
        <v>98</v>
      </c>
      <c r="AB20" s="308">
        <v>93</v>
      </c>
      <c r="AC20" s="15">
        <v>98</v>
      </c>
      <c r="AD20" s="15">
        <v>98</v>
      </c>
      <c r="AE20" s="15">
        <v>93</v>
      </c>
      <c r="AF20" s="16">
        <v>93</v>
      </c>
      <c r="AG20" s="318">
        <f t="shared" si="2"/>
        <v>95.727272727272734</v>
      </c>
    </row>
    <row r="21" spans="1:34" ht="18" customHeight="1">
      <c r="A21" s="147">
        <v>19</v>
      </c>
      <c r="B21" s="135" t="str">
        <f>VLOOKUP(A21,緊急聯絡!A$2:C$27,3,0)</f>
        <v>吳羽棠</v>
      </c>
      <c r="C21" s="14">
        <v>98</v>
      </c>
      <c r="D21" s="14">
        <v>98</v>
      </c>
      <c r="E21" s="14">
        <v>98</v>
      </c>
      <c r="F21" s="14">
        <v>98</v>
      </c>
      <c r="G21" s="14"/>
      <c r="H21" s="14"/>
      <c r="I21" s="14"/>
      <c r="J21" s="14"/>
      <c r="K21" s="14">
        <f t="shared" si="0"/>
        <v>98</v>
      </c>
      <c r="L21" s="14">
        <v>98</v>
      </c>
      <c r="M21" s="14">
        <v>93</v>
      </c>
      <c r="N21" s="14">
        <v>93</v>
      </c>
      <c r="O21" s="14">
        <v>93</v>
      </c>
      <c r="P21" s="14">
        <v>98</v>
      </c>
      <c r="Q21" s="14">
        <v>93</v>
      </c>
      <c r="R21" s="58">
        <v>88</v>
      </c>
      <c r="S21" s="58">
        <v>88</v>
      </c>
      <c r="T21" s="15">
        <f t="shared" si="1"/>
        <v>93</v>
      </c>
      <c r="U21" s="15"/>
      <c r="V21" s="15">
        <v>98</v>
      </c>
      <c r="W21" s="15">
        <v>93</v>
      </c>
      <c r="X21" s="15">
        <v>93</v>
      </c>
      <c r="Y21" s="308">
        <v>93</v>
      </c>
      <c r="Z21" s="308">
        <v>93</v>
      </c>
      <c r="AA21" s="308">
        <v>98</v>
      </c>
      <c r="AB21" s="308">
        <v>93</v>
      </c>
      <c r="AC21" s="15">
        <v>88</v>
      </c>
      <c r="AD21" s="15">
        <v>88</v>
      </c>
      <c r="AE21" s="15">
        <v>93</v>
      </c>
      <c r="AF21" s="16"/>
      <c r="AG21" s="318">
        <f t="shared" si="2"/>
        <v>93</v>
      </c>
    </row>
    <row r="22" spans="1:34" ht="18" customHeight="1">
      <c r="A22" s="147">
        <v>20</v>
      </c>
      <c r="B22" s="135" t="str">
        <f>VLOOKUP(A22,緊急聯絡!A$2:C$27,3,0)</f>
        <v>蔡羽媗</v>
      </c>
      <c r="C22" s="14">
        <v>98</v>
      </c>
      <c r="D22" s="14">
        <v>100</v>
      </c>
      <c r="E22" s="14">
        <v>93</v>
      </c>
      <c r="F22" s="14">
        <v>93</v>
      </c>
      <c r="G22" s="14"/>
      <c r="H22" s="14"/>
      <c r="I22" s="14"/>
      <c r="J22" s="14"/>
      <c r="K22" s="14">
        <f t="shared" si="0"/>
        <v>96</v>
      </c>
      <c r="L22" s="14">
        <v>88</v>
      </c>
      <c r="M22" s="14">
        <v>93</v>
      </c>
      <c r="N22" s="14">
        <v>98</v>
      </c>
      <c r="O22" s="14">
        <v>88</v>
      </c>
      <c r="P22" s="14">
        <v>97</v>
      </c>
      <c r="Q22" s="14">
        <v>93</v>
      </c>
      <c r="R22" s="58">
        <v>98</v>
      </c>
      <c r="S22" s="58">
        <v>83</v>
      </c>
      <c r="T22" s="15">
        <f t="shared" si="1"/>
        <v>92.25</v>
      </c>
      <c r="U22" s="15"/>
      <c r="V22" s="15">
        <v>88</v>
      </c>
      <c r="W22" s="15">
        <v>93</v>
      </c>
      <c r="X22" s="15">
        <v>98</v>
      </c>
      <c r="Y22" s="308">
        <v>88</v>
      </c>
      <c r="Z22" s="308">
        <v>98</v>
      </c>
      <c r="AA22" s="308">
        <v>98</v>
      </c>
      <c r="AB22" s="308">
        <v>93</v>
      </c>
      <c r="AC22" s="15">
        <v>98</v>
      </c>
      <c r="AD22" s="15">
        <v>93</v>
      </c>
      <c r="AE22" s="15">
        <v>98</v>
      </c>
      <c r="AF22" s="16">
        <v>93</v>
      </c>
      <c r="AG22" s="318">
        <f t="shared" si="2"/>
        <v>94.36363636363636</v>
      </c>
    </row>
    <row r="23" spans="1:34" ht="18" customHeight="1">
      <c r="A23" s="147">
        <v>21</v>
      </c>
      <c r="B23" s="135" t="str">
        <f>VLOOKUP(A23,緊急聯絡!A$2:C$27,3,0)</f>
        <v>楊筱歆</v>
      </c>
      <c r="C23" s="14">
        <v>98</v>
      </c>
      <c r="D23" s="14">
        <v>98</v>
      </c>
      <c r="E23" s="14">
        <v>98</v>
      </c>
      <c r="F23" s="14">
        <v>100</v>
      </c>
      <c r="G23" s="14"/>
      <c r="H23" s="14"/>
      <c r="I23" s="14"/>
      <c r="J23" s="14"/>
      <c r="K23" s="14">
        <f t="shared" si="0"/>
        <v>98.5</v>
      </c>
      <c r="L23" s="14">
        <v>98</v>
      </c>
      <c r="M23" s="14">
        <v>98</v>
      </c>
      <c r="N23" s="14">
        <v>98</v>
      </c>
      <c r="O23" s="14">
        <v>93</v>
      </c>
      <c r="P23" s="14">
        <v>98</v>
      </c>
      <c r="Q23" s="14">
        <v>93</v>
      </c>
      <c r="R23" s="58">
        <v>98</v>
      </c>
      <c r="S23" s="58">
        <v>98</v>
      </c>
      <c r="T23" s="15">
        <f t="shared" si="1"/>
        <v>96.75</v>
      </c>
      <c r="U23" s="15"/>
      <c r="V23" s="15">
        <v>98</v>
      </c>
      <c r="W23" s="15">
        <v>98</v>
      </c>
      <c r="X23" s="15">
        <v>98</v>
      </c>
      <c r="Y23" s="308">
        <v>93</v>
      </c>
      <c r="Z23" s="308">
        <v>98</v>
      </c>
      <c r="AA23" s="308">
        <v>93</v>
      </c>
      <c r="AB23" s="308">
        <v>98</v>
      </c>
      <c r="AC23" s="15">
        <v>98</v>
      </c>
      <c r="AD23" s="15">
        <v>93</v>
      </c>
      <c r="AE23" s="15">
        <v>98</v>
      </c>
      <c r="AF23" s="16">
        <v>98</v>
      </c>
      <c r="AG23" s="318">
        <f t="shared" si="2"/>
        <v>96.63636363636364</v>
      </c>
    </row>
    <row r="24" spans="1:34" ht="18" customHeight="1">
      <c r="A24" s="147">
        <v>22</v>
      </c>
      <c r="B24" s="135" t="str">
        <f>VLOOKUP(A24,緊急聯絡!A$2:C$27,3,0)</f>
        <v>邱詩涵</v>
      </c>
      <c r="C24" s="14">
        <v>98</v>
      </c>
      <c r="D24" s="14">
        <v>98</v>
      </c>
      <c r="E24" s="14">
        <v>98</v>
      </c>
      <c r="F24" s="14">
        <v>100</v>
      </c>
      <c r="G24" s="14"/>
      <c r="H24" s="14"/>
      <c r="I24" s="14"/>
      <c r="J24" s="14"/>
      <c r="K24" s="14">
        <f t="shared" si="0"/>
        <v>98.5</v>
      </c>
      <c r="L24" s="14">
        <v>93</v>
      </c>
      <c r="M24" s="14">
        <v>93</v>
      </c>
      <c r="N24" s="14">
        <v>93</v>
      </c>
      <c r="O24" s="14">
        <v>93</v>
      </c>
      <c r="P24" s="14">
        <v>98</v>
      </c>
      <c r="Q24" s="14">
        <v>98</v>
      </c>
      <c r="R24" s="58">
        <v>98</v>
      </c>
      <c r="S24" s="58">
        <v>93</v>
      </c>
      <c r="T24" s="15">
        <f t="shared" si="1"/>
        <v>94.875</v>
      </c>
      <c r="U24" s="15"/>
      <c r="V24" s="15">
        <v>93</v>
      </c>
      <c r="W24" s="15">
        <v>93</v>
      </c>
      <c r="X24" s="15">
        <v>93</v>
      </c>
      <c r="Y24" s="308">
        <v>93</v>
      </c>
      <c r="Z24" s="308">
        <v>98</v>
      </c>
      <c r="AA24" s="308">
        <v>98</v>
      </c>
      <c r="AB24" s="308">
        <v>98</v>
      </c>
      <c r="AC24" s="15">
        <v>93</v>
      </c>
      <c r="AD24" s="15">
        <v>93</v>
      </c>
      <c r="AE24" s="15">
        <v>98</v>
      </c>
      <c r="AF24" s="16"/>
      <c r="AG24" s="318">
        <f t="shared" si="2"/>
        <v>95</v>
      </c>
    </row>
    <row r="25" spans="1:34" ht="18" customHeight="1">
      <c r="A25" s="147">
        <v>23</v>
      </c>
      <c r="B25" s="135" t="str">
        <f>VLOOKUP(A25,緊急聯絡!A$2:C$27,3,0)</f>
        <v>張涵甯</v>
      </c>
      <c r="C25" s="14">
        <v>98</v>
      </c>
      <c r="D25" s="14">
        <v>98</v>
      </c>
      <c r="E25" s="14">
        <v>98</v>
      </c>
      <c r="F25" s="14">
        <v>100</v>
      </c>
      <c r="G25" s="14"/>
      <c r="H25" s="14"/>
      <c r="I25" s="14"/>
      <c r="J25" s="14"/>
      <c r="K25" s="14">
        <f t="shared" si="0"/>
        <v>98.5</v>
      </c>
      <c r="L25" s="14">
        <v>98</v>
      </c>
      <c r="M25" s="14">
        <v>98</v>
      </c>
      <c r="N25" s="14">
        <v>98</v>
      </c>
      <c r="O25" s="14">
        <v>93</v>
      </c>
      <c r="P25" s="14">
        <v>98</v>
      </c>
      <c r="Q25" s="14">
        <v>93</v>
      </c>
      <c r="R25" s="58">
        <v>98</v>
      </c>
      <c r="S25" s="58">
        <v>98</v>
      </c>
      <c r="T25" s="15">
        <f t="shared" si="1"/>
        <v>96.75</v>
      </c>
      <c r="U25" s="15"/>
      <c r="V25" s="15">
        <v>98</v>
      </c>
      <c r="W25" s="15">
        <v>98</v>
      </c>
      <c r="X25" s="15">
        <v>98</v>
      </c>
      <c r="Y25" s="308">
        <v>93</v>
      </c>
      <c r="Z25" s="308">
        <v>98</v>
      </c>
      <c r="AA25" s="308">
        <v>93</v>
      </c>
      <c r="AB25" s="308">
        <v>98</v>
      </c>
      <c r="AC25" s="15">
        <v>98</v>
      </c>
      <c r="AD25" s="15">
        <v>98</v>
      </c>
      <c r="AE25" s="15">
        <v>98</v>
      </c>
      <c r="AF25" s="16">
        <v>98</v>
      </c>
      <c r="AG25" s="318">
        <f t="shared" si="2"/>
        <v>97.090909090909093</v>
      </c>
    </row>
    <row r="26" spans="1:34" ht="18" customHeight="1">
      <c r="A26" s="147">
        <v>24</v>
      </c>
      <c r="B26" s="135" t="str">
        <f>VLOOKUP(A26,緊急聯絡!A$2:C$27,3,0)</f>
        <v>王姿涵</v>
      </c>
      <c r="C26" s="14">
        <v>98</v>
      </c>
      <c r="D26" s="14">
        <v>98</v>
      </c>
      <c r="E26" s="14">
        <v>98</v>
      </c>
      <c r="F26" s="14">
        <v>100</v>
      </c>
      <c r="G26" s="14"/>
      <c r="H26" s="14"/>
      <c r="I26" s="14"/>
      <c r="J26" s="14"/>
      <c r="K26" s="14">
        <f t="shared" si="0"/>
        <v>98.5</v>
      </c>
      <c r="L26" s="14">
        <v>93</v>
      </c>
      <c r="M26" s="14">
        <v>98</v>
      </c>
      <c r="N26" s="14">
        <v>93</v>
      </c>
      <c r="O26" s="14">
        <v>88</v>
      </c>
      <c r="P26" s="14">
        <v>98</v>
      </c>
      <c r="Q26" s="14">
        <v>93</v>
      </c>
      <c r="R26" s="58">
        <v>98</v>
      </c>
      <c r="S26" s="58">
        <v>98</v>
      </c>
      <c r="T26" s="15">
        <f t="shared" si="1"/>
        <v>94.875</v>
      </c>
      <c r="U26" s="15"/>
      <c r="V26" s="15">
        <v>93</v>
      </c>
      <c r="W26" s="15">
        <v>98</v>
      </c>
      <c r="X26" s="15">
        <v>93</v>
      </c>
      <c r="Y26" s="308">
        <v>88</v>
      </c>
      <c r="Z26" s="308">
        <v>93</v>
      </c>
      <c r="AA26" s="308">
        <v>98</v>
      </c>
      <c r="AB26" s="308">
        <v>98</v>
      </c>
      <c r="AC26" s="15">
        <v>98</v>
      </c>
      <c r="AD26" s="15"/>
      <c r="AE26" s="15"/>
      <c r="AF26" s="16"/>
      <c r="AG26" s="318">
        <f t="shared" si="2"/>
        <v>94.875</v>
      </c>
    </row>
    <row r="27" spans="1:34" ht="18" customHeight="1">
      <c r="A27" s="147">
        <v>25</v>
      </c>
      <c r="B27" s="135" t="str">
        <f>VLOOKUP(A27,緊急聯絡!A$2:C$27,3,0)</f>
        <v>林昱萱</v>
      </c>
      <c r="C27" s="14">
        <v>93</v>
      </c>
      <c r="D27" s="14">
        <v>93</v>
      </c>
      <c r="E27" s="14">
        <v>98</v>
      </c>
      <c r="F27" s="14">
        <v>98</v>
      </c>
      <c r="G27" s="14"/>
      <c r="H27" s="14"/>
      <c r="I27" s="14"/>
      <c r="J27" s="14"/>
      <c r="K27" s="14">
        <f t="shared" si="0"/>
        <v>95.5</v>
      </c>
      <c r="L27" s="14">
        <v>98</v>
      </c>
      <c r="M27" s="14">
        <v>88</v>
      </c>
      <c r="N27" s="14">
        <v>93</v>
      </c>
      <c r="O27" s="14">
        <v>93</v>
      </c>
      <c r="P27" s="14">
        <v>93</v>
      </c>
      <c r="Q27" s="14">
        <v>88</v>
      </c>
      <c r="R27" s="58">
        <v>98</v>
      </c>
      <c r="S27" s="58">
        <v>88</v>
      </c>
      <c r="T27" s="15">
        <f t="shared" si="1"/>
        <v>92.375</v>
      </c>
      <c r="U27" s="15"/>
      <c r="V27" s="15">
        <v>98</v>
      </c>
      <c r="W27" s="15">
        <v>88</v>
      </c>
      <c r="X27" s="15">
        <v>93</v>
      </c>
      <c r="Y27" s="308">
        <v>93</v>
      </c>
      <c r="Z27" s="308">
        <v>93</v>
      </c>
      <c r="AA27" s="308">
        <v>88</v>
      </c>
      <c r="AB27" s="308">
        <v>98</v>
      </c>
      <c r="AC27" s="15">
        <v>88</v>
      </c>
      <c r="AD27" s="15">
        <v>93</v>
      </c>
      <c r="AE27" s="15">
        <v>98</v>
      </c>
      <c r="AF27" s="16">
        <v>88</v>
      </c>
      <c r="AG27" s="318">
        <f t="shared" si="2"/>
        <v>92.545454545454547</v>
      </c>
      <c r="AH27" s="73"/>
    </row>
    <row r="28" spans="1:34" ht="18" customHeight="1">
      <c r="A28" s="147">
        <v>26</v>
      </c>
      <c r="B28" s="135" t="str">
        <f>VLOOKUP(A28,緊急聯絡!A$2:C$27,3,0)</f>
        <v>李文</v>
      </c>
      <c r="C28" s="14">
        <v>98</v>
      </c>
      <c r="D28" s="14">
        <v>98</v>
      </c>
      <c r="E28" s="14">
        <v>93</v>
      </c>
      <c r="F28" s="14">
        <v>98</v>
      </c>
      <c r="G28" s="14"/>
      <c r="H28" s="14"/>
      <c r="I28" s="14"/>
      <c r="J28" s="14"/>
      <c r="K28" s="14">
        <f t="shared" si="0"/>
        <v>96.75</v>
      </c>
      <c r="L28" s="14">
        <v>88</v>
      </c>
      <c r="M28" s="14">
        <v>98</v>
      </c>
      <c r="N28" s="14">
        <v>93</v>
      </c>
      <c r="O28" s="14">
        <v>93</v>
      </c>
      <c r="P28" s="14">
        <v>98</v>
      </c>
      <c r="Q28" s="14">
        <v>83</v>
      </c>
      <c r="R28" s="58">
        <v>93</v>
      </c>
      <c r="S28" s="58">
        <v>93</v>
      </c>
      <c r="T28" s="15">
        <f t="shared" si="1"/>
        <v>92.375</v>
      </c>
      <c r="U28" s="15"/>
      <c r="V28" s="15">
        <v>88</v>
      </c>
      <c r="W28" s="15">
        <v>98</v>
      </c>
      <c r="X28" s="15">
        <v>93</v>
      </c>
      <c r="Y28" s="308">
        <v>93</v>
      </c>
      <c r="Z28" s="308">
        <v>98</v>
      </c>
      <c r="AA28" s="308">
        <v>83</v>
      </c>
      <c r="AB28" s="308">
        <v>93</v>
      </c>
      <c r="AC28" s="15">
        <v>93</v>
      </c>
      <c r="AD28" s="15">
        <v>98</v>
      </c>
      <c r="AE28" s="15">
        <v>98</v>
      </c>
      <c r="AF28" s="16"/>
      <c r="AG28" s="318">
        <f t="shared" si="2"/>
        <v>93.5</v>
      </c>
    </row>
    <row r="29" spans="1:34" ht="18" customHeight="1" thickBot="1">
      <c r="A29" s="217">
        <v>29</v>
      </c>
      <c r="B29" s="212"/>
      <c r="C29" s="18"/>
      <c r="D29" s="18">
        <v>98</v>
      </c>
      <c r="E29" s="18">
        <v>98</v>
      </c>
      <c r="F29" s="18">
        <v>88</v>
      </c>
      <c r="G29" s="18"/>
      <c r="H29" s="18"/>
      <c r="I29" s="18"/>
      <c r="J29" s="18"/>
      <c r="K29" s="14">
        <f t="shared" si="0"/>
        <v>94.666666666666671</v>
      </c>
      <c r="L29" s="18">
        <v>88</v>
      </c>
      <c r="M29" s="18">
        <v>93</v>
      </c>
      <c r="N29" s="18">
        <v>93</v>
      </c>
      <c r="O29" s="18">
        <v>98</v>
      </c>
      <c r="P29" s="18">
        <v>98</v>
      </c>
      <c r="Q29" s="18">
        <v>93</v>
      </c>
      <c r="R29" s="280">
        <v>93</v>
      </c>
      <c r="S29" s="280">
        <v>93</v>
      </c>
      <c r="T29" s="15">
        <f t="shared" si="1"/>
        <v>93.625</v>
      </c>
      <c r="U29" s="19"/>
      <c r="V29" s="19">
        <v>88</v>
      </c>
      <c r="W29" s="19">
        <v>93</v>
      </c>
      <c r="X29" s="19">
        <v>93</v>
      </c>
      <c r="Y29" s="311">
        <v>98</v>
      </c>
      <c r="Z29" s="311">
        <v>98</v>
      </c>
      <c r="AA29" s="311">
        <v>93</v>
      </c>
      <c r="AB29" s="311">
        <v>98</v>
      </c>
      <c r="AC29" s="19">
        <v>93</v>
      </c>
      <c r="AD29" s="19">
        <v>93</v>
      </c>
      <c r="AE29" s="19">
        <v>88</v>
      </c>
      <c r="AF29" s="20">
        <v>93</v>
      </c>
      <c r="AG29" s="318">
        <f t="shared" si="2"/>
        <v>93.454545454545453</v>
      </c>
    </row>
    <row r="30" spans="1:34" ht="18" thickTop="1" thickBot="1">
      <c r="A30" s="217">
        <v>30</v>
      </c>
      <c r="B30" s="212"/>
      <c r="C30" s="18"/>
      <c r="D30" s="18">
        <v>98</v>
      </c>
      <c r="E30" s="18">
        <v>98</v>
      </c>
      <c r="F30" s="18">
        <v>88</v>
      </c>
      <c r="G30" s="18"/>
      <c r="H30" s="18"/>
      <c r="I30" s="18"/>
      <c r="J30" s="18"/>
      <c r="K30" s="14">
        <f>AVERAGE(C30:J30)</f>
        <v>94.666666666666671</v>
      </c>
      <c r="L30" s="18">
        <v>88</v>
      </c>
      <c r="M30" s="18">
        <v>93</v>
      </c>
      <c r="N30" s="18">
        <v>93</v>
      </c>
      <c r="O30" s="18">
        <v>98</v>
      </c>
      <c r="P30" s="18">
        <v>98</v>
      </c>
      <c r="Q30" s="18">
        <v>88</v>
      </c>
      <c r="R30" s="280">
        <v>93</v>
      </c>
      <c r="S30" s="280">
        <v>83</v>
      </c>
      <c r="T30" s="15">
        <f>AVERAGE(L30:S30)</f>
        <v>91.75</v>
      </c>
      <c r="U30" s="19"/>
      <c r="V30" s="19">
        <v>88</v>
      </c>
      <c r="W30" s="19">
        <v>93</v>
      </c>
      <c r="X30" s="19">
        <v>93</v>
      </c>
      <c r="Y30" s="311">
        <v>98</v>
      </c>
      <c r="Z30" s="311">
        <v>98</v>
      </c>
      <c r="AA30" s="311">
        <v>88</v>
      </c>
      <c r="AB30" s="311">
        <v>93</v>
      </c>
      <c r="AC30" s="19">
        <v>88</v>
      </c>
      <c r="AD30" s="19">
        <v>88</v>
      </c>
      <c r="AE30" s="19">
        <v>98</v>
      </c>
      <c r="AF30" s="20"/>
      <c r="AG30" s="318">
        <f t="shared" si="2"/>
        <v>92.5</v>
      </c>
    </row>
    <row r="31" spans="1:34" ht="17.25" thickTop="1"/>
  </sheetData>
  <mergeCells count="1">
    <mergeCell ref="A1:B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1"/>
  <sheetViews>
    <sheetView topLeftCell="A16" workbookViewId="0">
      <selection activeCell="D30" sqref="D30"/>
    </sheetView>
  </sheetViews>
  <sheetFormatPr defaultRowHeight="16.5"/>
  <cols>
    <col min="1" max="5" width="18.75" customWidth="1"/>
    <col min="6" max="6" width="12.75" customWidth="1"/>
    <col min="8" max="8" width="20.5" customWidth="1"/>
  </cols>
  <sheetData>
    <row r="1" spans="1:8" ht="21" customHeight="1" thickTop="1">
      <c r="A1" s="74" t="s">
        <v>498</v>
      </c>
      <c r="B1" s="74" t="s">
        <v>498</v>
      </c>
      <c r="C1" s="74" t="s">
        <v>498</v>
      </c>
      <c r="D1" s="74" t="s">
        <v>498</v>
      </c>
      <c r="E1" s="74" t="s">
        <v>498</v>
      </c>
      <c r="F1" s="78" t="s">
        <v>242</v>
      </c>
      <c r="G1" s="78"/>
      <c r="H1" s="78"/>
    </row>
    <row r="2" spans="1:8" ht="21" customHeight="1">
      <c r="A2" s="75" t="s">
        <v>240</v>
      </c>
      <c r="B2" s="75" t="s">
        <v>240</v>
      </c>
      <c r="C2" s="75" t="s">
        <v>240</v>
      </c>
      <c r="D2" s="75" t="s">
        <v>240</v>
      </c>
      <c r="E2" s="75" t="s">
        <v>240</v>
      </c>
      <c r="F2" s="79">
        <v>43403</v>
      </c>
      <c r="G2" s="78" t="s">
        <v>243</v>
      </c>
      <c r="H2" s="78" t="s">
        <v>244</v>
      </c>
    </row>
    <row r="3" spans="1:8" ht="21" customHeight="1">
      <c r="A3" s="75" t="s">
        <v>241</v>
      </c>
      <c r="B3" s="75" t="s">
        <v>241</v>
      </c>
      <c r="C3" s="75" t="s">
        <v>241</v>
      </c>
      <c r="D3" s="75" t="s">
        <v>241</v>
      </c>
      <c r="E3" s="75" t="s">
        <v>241</v>
      </c>
      <c r="F3" s="78"/>
      <c r="G3" s="78" t="s">
        <v>110</v>
      </c>
      <c r="H3" s="78" t="s">
        <v>245</v>
      </c>
    </row>
    <row r="4" spans="1:8" ht="21" customHeight="1">
      <c r="A4" s="75" t="s">
        <v>499</v>
      </c>
      <c r="B4" s="75" t="s">
        <v>499</v>
      </c>
      <c r="C4" s="75" t="s">
        <v>499</v>
      </c>
      <c r="D4" s="75" t="s">
        <v>499</v>
      </c>
      <c r="E4" s="75" t="s">
        <v>499</v>
      </c>
      <c r="F4" s="79">
        <v>43404</v>
      </c>
      <c r="G4" s="78" t="s">
        <v>109</v>
      </c>
      <c r="H4" s="78" t="s">
        <v>246</v>
      </c>
    </row>
    <row r="5" spans="1:8" ht="21" customHeight="1" thickBot="1">
      <c r="A5" s="76" t="s">
        <v>500</v>
      </c>
      <c r="B5" s="76" t="s">
        <v>500</v>
      </c>
      <c r="C5" s="76" t="s">
        <v>500</v>
      </c>
      <c r="D5" s="76" t="s">
        <v>500</v>
      </c>
      <c r="E5" s="76" t="s">
        <v>500</v>
      </c>
      <c r="F5" s="78"/>
      <c r="G5" s="78" t="s">
        <v>115</v>
      </c>
      <c r="H5" s="106" t="s">
        <v>297</v>
      </c>
    </row>
    <row r="6" spans="1:8" ht="21" customHeight="1" thickTop="1">
      <c r="A6" s="74" t="s">
        <v>498</v>
      </c>
      <c r="B6" s="74" t="s">
        <v>498</v>
      </c>
      <c r="C6" s="74" t="s">
        <v>498</v>
      </c>
      <c r="D6" s="74" t="s">
        <v>498</v>
      </c>
      <c r="E6" s="74" t="s">
        <v>498</v>
      </c>
      <c r="F6" s="107">
        <v>43410</v>
      </c>
      <c r="G6" s="78" t="s">
        <v>112</v>
      </c>
      <c r="H6" s="106" t="s">
        <v>300</v>
      </c>
    </row>
    <row r="7" spans="1:8" ht="21" customHeight="1">
      <c r="A7" s="75" t="s">
        <v>240</v>
      </c>
      <c r="B7" s="75" t="s">
        <v>240</v>
      </c>
      <c r="C7" s="75" t="s">
        <v>240</v>
      </c>
      <c r="D7" s="75" t="s">
        <v>240</v>
      </c>
      <c r="E7" s="75" t="s">
        <v>240</v>
      </c>
      <c r="F7" s="105"/>
      <c r="G7" s="78" t="s">
        <v>247</v>
      </c>
      <c r="H7" s="78" t="s">
        <v>245</v>
      </c>
    </row>
    <row r="8" spans="1:8" ht="21" customHeight="1">
      <c r="A8" s="75" t="s">
        <v>241</v>
      </c>
      <c r="B8" s="75" t="s">
        <v>241</v>
      </c>
      <c r="C8" s="75" t="s">
        <v>241</v>
      </c>
      <c r="D8" s="75" t="s">
        <v>241</v>
      </c>
      <c r="E8" s="75" t="s">
        <v>241</v>
      </c>
      <c r="F8" s="108" t="s">
        <v>298</v>
      </c>
      <c r="G8" s="78" t="s">
        <v>120</v>
      </c>
      <c r="H8" s="78" t="s">
        <v>248</v>
      </c>
    </row>
    <row r="9" spans="1:8" ht="21" customHeight="1">
      <c r="A9" s="75" t="s">
        <v>499</v>
      </c>
      <c r="B9" s="75" t="s">
        <v>499</v>
      </c>
      <c r="C9" s="75" t="s">
        <v>499</v>
      </c>
      <c r="D9" s="75" t="s">
        <v>499</v>
      </c>
      <c r="E9" s="75" t="s">
        <v>499</v>
      </c>
      <c r="F9" s="109" t="s">
        <v>299</v>
      </c>
      <c r="G9" s="78"/>
      <c r="H9" s="78"/>
    </row>
    <row r="10" spans="1:8" ht="21" customHeight="1" thickBot="1">
      <c r="A10" s="76" t="s">
        <v>500</v>
      </c>
      <c r="B10" s="76" t="s">
        <v>500</v>
      </c>
      <c r="C10" s="76" t="s">
        <v>500</v>
      </c>
      <c r="D10" s="76" t="s">
        <v>500</v>
      </c>
      <c r="E10" s="76" t="s">
        <v>500</v>
      </c>
      <c r="F10" s="78" t="s">
        <v>249</v>
      </c>
    </row>
    <row r="11" spans="1:8" ht="21" customHeight="1" thickTop="1">
      <c r="A11" s="74" t="s">
        <v>498</v>
      </c>
      <c r="B11" s="74" t="s">
        <v>498</v>
      </c>
      <c r="C11" s="74" t="s">
        <v>498</v>
      </c>
      <c r="D11" s="74" t="s">
        <v>498</v>
      </c>
      <c r="E11" s="74" t="s">
        <v>498</v>
      </c>
    </row>
    <row r="12" spans="1:8" ht="21" customHeight="1">
      <c r="A12" s="75" t="s">
        <v>240</v>
      </c>
      <c r="B12" s="75" t="s">
        <v>240</v>
      </c>
      <c r="C12" s="75" t="s">
        <v>240</v>
      </c>
      <c r="D12" s="75" t="s">
        <v>240</v>
      </c>
      <c r="E12" s="75" t="s">
        <v>240</v>
      </c>
    </row>
    <row r="13" spans="1:8" ht="21" customHeight="1">
      <c r="A13" s="75" t="s">
        <v>241</v>
      </c>
      <c r="B13" s="75" t="s">
        <v>241</v>
      </c>
      <c r="C13" s="75" t="s">
        <v>241</v>
      </c>
      <c r="D13" s="75" t="s">
        <v>241</v>
      </c>
      <c r="E13" s="75" t="s">
        <v>241</v>
      </c>
    </row>
    <row r="14" spans="1:8" ht="21" customHeight="1">
      <c r="A14" s="75" t="s">
        <v>499</v>
      </c>
      <c r="B14" s="75" t="s">
        <v>499</v>
      </c>
      <c r="C14" s="75" t="s">
        <v>499</v>
      </c>
      <c r="D14" s="75" t="s">
        <v>499</v>
      </c>
      <c r="E14" s="75" t="s">
        <v>499</v>
      </c>
    </row>
    <row r="15" spans="1:8" ht="21" customHeight="1" thickBot="1">
      <c r="A15" s="76" t="s">
        <v>500</v>
      </c>
      <c r="B15" s="76" t="s">
        <v>500</v>
      </c>
      <c r="C15" s="76" t="s">
        <v>500</v>
      </c>
      <c r="D15" s="76" t="s">
        <v>500</v>
      </c>
      <c r="E15" s="76" t="s">
        <v>500</v>
      </c>
    </row>
    <row r="16" spans="1:8" ht="21" customHeight="1" thickTop="1">
      <c r="A16" s="74" t="s">
        <v>498</v>
      </c>
      <c r="B16" s="74" t="s">
        <v>498</v>
      </c>
      <c r="C16" s="74" t="s">
        <v>498</v>
      </c>
      <c r="D16" s="74" t="s">
        <v>498</v>
      </c>
      <c r="E16" s="74" t="s">
        <v>498</v>
      </c>
    </row>
    <row r="17" spans="1:5" ht="21" customHeight="1">
      <c r="A17" s="75" t="s">
        <v>240</v>
      </c>
      <c r="B17" s="75" t="s">
        <v>240</v>
      </c>
      <c r="C17" s="75" t="s">
        <v>240</v>
      </c>
      <c r="D17" s="75" t="s">
        <v>240</v>
      </c>
      <c r="E17" s="75" t="s">
        <v>240</v>
      </c>
    </row>
    <row r="18" spans="1:5" ht="21" customHeight="1">
      <c r="A18" s="75" t="s">
        <v>241</v>
      </c>
      <c r="B18" s="75" t="s">
        <v>241</v>
      </c>
      <c r="C18" s="75" t="s">
        <v>241</v>
      </c>
      <c r="D18" s="75" t="s">
        <v>241</v>
      </c>
      <c r="E18" s="75" t="s">
        <v>241</v>
      </c>
    </row>
    <row r="19" spans="1:5" ht="21" customHeight="1">
      <c r="A19" s="75" t="s">
        <v>499</v>
      </c>
      <c r="B19" s="75" t="s">
        <v>499</v>
      </c>
      <c r="C19" s="75" t="s">
        <v>499</v>
      </c>
      <c r="D19" s="75" t="s">
        <v>499</v>
      </c>
      <c r="E19" s="75" t="s">
        <v>499</v>
      </c>
    </row>
    <row r="20" spans="1:5" ht="21" customHeight="1" thickBot="1">
      <c r="A20" s="76" t="s">
        <v>500</v>
      </c>
      <c r="B20" s="76" t="s">
        <v>500</v>
      </c>
      <c r="C20" s="76" t="s">
        <v>500</v>
      </c>
      <c r="D20" s="76" t="s">
        <v>500</v>
      </c>
      <c r="E20" s="76" t="s">
        <v>500</v>
      </c>
    </row>
    <row r="21" spans="1:5" ht="21" customHeight="1" thickTop="1">
      <c r="A21" s="74" t="s">
        <v>498</v>
      </c>
      <c r="B21" s="74" t="s">
        <v>498</v>
      </c>
      <c r="C21" s="74" t="s">
        <v>498</v>
      </c>
      <c r="D21" s="74" t="s">
        <v>498</v>
      </c>
      <c r="E21" s="74" t="s">
        <v>498</v>
      </c>
    </row>
    <row r="22" spans="1:5" ht="21" customHeight="1">
      <c r="A22" s="75" t="s">
        <v>240</v>
      </c>
      <c r="B22" s="75" t="s">
        <v>240</v>
      </c>
      <c r="C22" s="75" t="s">
        <v>240</v>
      </c>
      <c r="D22" s="75" t="s">
        <v>240</v>
      </c>
      <c r="E22" s="75" t="s">
        <v>240</v>
      </c>
    </row>
    <row r="23" spans="1:5" ht="21" customHeight="1">
      <c r="A23" s="75" t="s">
        <v>241</v>
      </c>
      <c r="B23" s="75" t="s">
        <v>241</v>
      </c>
      <c r="C23" s="75" t="s">
        <v>241</v>
      </c>
      <c r="D23" s="75" t="s">
        <v>241</v>
      </c>
      <c r="E23" s="75" t="s">
        <v>241</v>
      </c>
    </row>
    <row r="24" spans="1:5" ht="21" customHeight="1">
      <c r="A24" s="75" t="s">
        <v>499</v>
      </c>
      <c r="B24" s="75" t="s">
        <v>499</v>
      </c>
      <c r="C24" s="75" t="s">
        <v>499</v>
      </c>
      <c r="D24" s="75" t="s">
        <v>499</v>
      </c>
      <c r="E24" s="75" t="s">
        <v>499</v>
      </c>
    </row>
    <row r="25" spans="1:5" ht="21" customHeight="1" thickBot="1">
      <c r="A25" s="76" t="s">
        <v>500</v>
      </c>
      <c r="B25" s="76" t="s">
        <v>500</v>
      </c>
      <c r="C25" s="76" t="s">
        <v>500</v>
      </c>
      <c r="D25" s="76" t="s">
        <v>500</v>
      </c>
      <c r="E25" s="76" t="s">
        <v>500</v>
      </c>
    </row>
    <row r="26" spans="1:5" ht="21" customHeight="1" thickTop="1">
      <c r="A26" s="74" t="s">
        <v>498</v>
      </c>
      <c r="B26" s="74" t="s">
        <v>498</v>
      </c>
      <c r="C26" s="74" t="s">
        <v>498</v>
      </c>
      <c r="D26" s="74" t="s">
        <v>498</v>
      </c>
      <c r="E26" s="74" t="s">
        <v>498</v>
      </c>
    </row>
    <row r="27" spans="1:5" ht="21" customHeight="1">
      <c r="A27" s="75" t="s">
        <v>240</v>
      </c>
      <c r="B27" s="75" t="s">
        <v>240</v>
      </c>
      <c r="C27" s="75" t="s">
        <v>240</v>
      </c>
      <c r="D27" s="75" t="s">
        <v>240</v>
      </c>
      <c r="E27" s="75" t="s">
        <v>240</v>
      </c>
    </row>
    <row r="28" spans="1:5" ht="21" customHeight="1">
      <c r="A28" s="75" t="s">
        <v>241</v>
      </c>
      <c r="B28" s="75" t="s">
        <v>241</v>
      </c>
      <c r="C28" s="75" t="s">
        <v>241</v>
      </c>
      <c r="D28" s="75" t="s">
        <v>241</v>
      </c>
      <c r="E28" s="75" t="s">
        <v>241</v>
      </c>
    </row>
    <row r="29" spans="1:5" ht="21" customHeight="1">
      <c r="A29" s="75" t="s">
        <v>499</v>
      </c>
      <c r="B29" s="75" t="s">
        <v>499</v>
      </c>
      <c r="C29" s="75" t="s">
        <v>499</v>
      </c>
      <c r="D29" s="75" t="s">
        <v>499</v>
      </c>
      <c r="E29" s="75" t="s">
        <v>499</v>
      </c>
    </row>
    <row r="30" spans="1:5" ht="21" customHeight="1" thickBot="1">
      <c r="A30" s="76" t="s">
        <v>500</v>
      </c>
      <c r="B30" s="76" t="s">
        <v>500</v>
      </c>
      <c r="C30" s="76" t="s">
        <v>500</v>
      </c>
      <c r="D30" s="76" t="s">
        <v>500</v>
      </c>
      <c r="E30" s="76" t="s">
        <v>500</v>
      </c>
    </row>
    <row r="31" spans="1:5" ht="21" customHeight="1" thickTop="1">
      <c r="A31" s="74" t="s">
        <v>498</v>
      </c>
      <c r="B31" s="74" t="s">
        <v>498</v>
      </c>
      <c r="C31" s="74" t="s">
        <v>498</v>
      </c>
      <c r="D31" s="74" t="s">
        <v>498</v>
      </c>
      <c r="E31" s="74" t="s">
        <v>498</v>
      </c>
    </row>
    <row r="32" spans="1:5" ht="21" customHeight="1">
      <c r="A32" s="75" t="s">
        <v>240</v>
      </c>
      <c r="B32" s="75" t="s">
        <v>240</v>
      </c>
      <c r="C32" s="75" t="s">
        <v>240</v>
      </c>
      <c r="D32" s="75" t="s">
        <v>240</v>
      </c>
      <c r="E32" s="75" t="s">
        <v>240</v>
      </c>
    </row>
    <row r="33" spans="1:5" ht="21" customHeight="1">
      <c r="A33" s="75" t="s">
        <v>241</v>
      </c>
      <c r="B33" s="75" t="s">
        <v>241</v>
      </c>
      <c r="C33" s="75" t="s">
        <v>241</v>
      </c>
      <c r="D33" s="75" t="s">
        <v>241</v>
      </c>
      <c r="E33" s="75" t="s">
        <v>241</v>
      </c>
    </row>
    <row r="34" spans="1:5" ht="21" customHeight="1">
      <c r="A34" s="75" t="s">
        <v>499</v>
      </c>
      <c r="B34" s="75" t="s">
        <v>499</v>
      </c>
      <c r="C34" s="75" t="s">
        <v>499</v>
      </c>
      <c r="D34" s="75" t="s">
        <v>499</v>
      </c>
      <c r="E34" s="75" t="s">
        <v>499</v>
      </c>
    </row>
    <row r="35" spans="1:5" ht="21" customHeight="1" thickBot="1">
      <c r="A35" s="76" t="s">
        <v>500</v>
      </c>
      <c r="B35" s="76" t="s">
        <v>500</v>
      </c>
      <c r="C35" s="76" t="s">
        <v>500</v>
      </c>
      <c r="D35" s="76" t="s">
        <v>500</v>
      </c>
      <c r="E35" s="76" t="s">
        <v>500</v>
      </c>
    </row>
    <row r="36" spans="1:5" ht="21" customHeight="1" thickTop="1">
      <c r="A36" s="74" t="s">
        <v>498</v>
      </c>
      <c r="B36" s="74" t="s">
        <v>498</v>
      </c>
      <c r="C36" s="74" t="s">
        <v>498</v>
      </c>
      <c r="D36" s="74" t="s">
        <v>498</v>
      </c>
      <c r="E36" s="74" t="s">
        <v>498</v>
      </c>
    </row>
    <row r="37" spans="1:5" ht="21" customHeight="1">
      <c r="A37" s="75" t="s">
        <v>240</v>
      </c>
      <c r="B37" s="75" t="s">
        <v>240</v>
      </c>
      <c r="C37" s="75" t="s">
        <v>240</v>
      </c>
      <c r="D37" s="75" t="s">
        <v>240</v>
      </c>
      <c r="E37" s="75" t="s">
        <v>240</v>
      </c>
    </row>
    <row r="38" spans="1:5" ht="21" customHeight="1">
      <c r="A38" s="75" t="s">
        <v>241</v>
      </c>
      <c r="B38" s="75" t="s">
        <v>241</v>
      </c>
      <c r="C38" s="75" t="s">
        <v>241</v>
      </c>
      <c r="D38" s="75" t="s">
        <v>241</v>
      </c>
      <c r="E38" s="75" t="s">
        <v>241</v>
      </c>
    </row>
    <row r="39" spans="1:5" ht="21" customHeight="1">
      <c r="A39" s="75" t="s">
        <v>499</v>
      </c>
      <c r="B39" s="75" t="s">
        <v>499</v>
      </c>
      <c r="C39" s="75" t="s">
        <v>499</v>
      </c>
      <c r="D39" s="75" t="s">
        <v>499</v>
      </c>
      <c r="E39" s="75" t="s">
        <v>499</v>
      </c>
    </row>
    <row r="40" spans="1:5" ht="21" customHeight="1" thickBot="1">
      <c r="A40" s="76" t="s">
        <v>500</v>
      </c>
      <c r="B40" s="76" t="s">
        <v>500</v>
      </c>
      <c r="C40" s="76" t="s">
        <v>500</v>
      </c>
      <c r="D40" s="76" t="s">
        <v>500</v>
      </c>
      <c r="E40" s="76" t="s">
        <v>500</v>
      </c>
    </row>
    <row r="41" spans="1:5" ht="17.25" thickTop="1"/>
  </sheetData>
  <phoneticPr fontId="2" type="noConversion"/>
  <pageMargins left="0.39370078740157483" right="0.39370078740157483" top="0.19685039370078741" bottom="0.19685039370078741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51"/>
  <sheetViews>
    <sheetView workbookViewId="0">
      <selection activeCell="H16" sqref="H16"/>
    </sheetView>
  </sheetViews>
  <sheetFormatPr defaultRowHeight="16.5"/>
  <cols>
    <col min="4" max="4" width="9" style="10"/>
  </cols>
  <sheetData>
    <row r="1" spans="1:4" ht="23.25">
      <c r="A1" s="519" t="s">
        <v>313</v>
      </c>
      <c r="B1" s="520"/>
      <c r="C1" s="520"/>
      <c r="D1" s="521"/>
    </row>
    <row r="2" spans="1:4" s="78" customFormat="1" ht="23.25">
      <c r="A2" s="520" t="s">
        <v>314</v>
      </c>
      <c r="B2" s="520"/>
      <c r="C2" s="520"/>
      <c r="D2" s="122" t="s">
        <v>315</v>
      </c>
    </row>
    <row r="3" spans="1:4" ht="18.75">
      <c r="A3" s="522" t="s">
        <v>154</v>
      </c>
      <c r="B3" s="119"/>
      <c r="C3" s="119" t="e">
        <f>VLOOKUP(B3,紀錄表!$A$3:$B$30,2,0)</f>
        <v>#N/A</v>
      </c>
      <c r="D3" s="119"/>
    </row>
    <row r="4" spans="1:4" s="78" customFormat="1" ht="18.75">
      <c r="A4" s="523"/>
      <c r="B4" s="121"/>
      <c r="C4" s="119" t="e">
        <f>VLOOKUP(B4,紀錄表!$A$3:$B$30,2,0)</f>
        <v>#N/A</v>
      </c>
      <c r="D4" s="121"/>
    </row>
    <row r="5" spans="1:4" s="78" customFormat="1" ht="18.75">
      <c r="A5" s="523"/>
      <c r="B5" s="121"/>
      <c r="C5" s="119" t="e">
        <f>VLOOKUP(B5,紀錄表!$A$3:$B$30,2,0)</f>
        <v>#N/A</v>
      </c>
      <c r="D5" s="121"/>
    </row>
    <row r="6" spans="1:4" s="78" customFormat="1" ht="18.75">
      <c r="A6" s="523"/>
      <c r="B6" s="121"/>
      <c r="C6" s="119" t="e">
        <f>VLOOKUP(B6,紀錄表!$A$3:$B$30,2,0)</f>
        <v>#N/A</v>
      </c>
      <c r="D6" s="121"/>
    </row>
    <row r="7" spans="1:4" s="78" customFormat="1" ht="18.75">
      <c r="A7" s="524"/>
      <c r="B7" s="121"/>
      <c r="C7" s="119" t="e">
        <f>VLOOKUP(B7,紀錄表!$A$3:$B$30,2,0)</f>
        <v>#N/A</v>
      </c>
      <c r="D7" s="121"/>
    </row>
    <row r="8" spans="1:4" s="78" customFormat="1" ht="18.75">
      <c r="A8" s="121" t="s">
        <v>317</v>
      </c>
      <c r="B8" s="121"/>
      <c r="C8" s="119" t="s">
        <v>316</v>
      </c>
      <c r="D8" s="121">
        <f>SUM(D3:D7)</f>
        <v>0</v>
      </c>
    </row>
    <row r="9" spans="1:4" ht="18.75">
      <c r="A9" s="522" t="s">
        <v>156</v>
      </c>
      <c r="B9" s="119"/>
      <c r="C9" s="119" t="e">
        <f>VLOOKUP(B9,紀錄表!$A$3:$B$30,2,0)</f>
        <v>#N/A</v>
      </c>
      <c r="D9" s="119"/>
    </row>
    <row r="10" spans="1:4" s="78" customFormat="1" ht="18.75">
      <c r="A10" s="523"/>
      <c r="B10" s="121"/>
      <c r="C10" s="119" t="e">
        <f>VLOOKUP(B10,紀錄表!$A$3:$B$30,2,0)</f>
        <v>#N/A</v>
      </c>
      <c r="D10" s="121"/>
    </row>
    <row r="11" spans="1:4" s="78" customFormat="1" ht="18.75">
      <c r="A11" s="523"/>
      <c r="B11" s="121"/>
      <c r="C11" s="119" t="e">
        <f>VLOOKUP(B11,紀錄表!$A$3:$B$30,2,0)</f>
        <v>#N/A</v>
      </c>
      <c r="D11" s="121"/>
    </row>
    <row r="12" spans="1:4" s="78" customFormat="1" ht="18.75">
      <c r="A12" s="523"/>
      <c r="B12" s="121"/>
      <c r="C12" s="119" t="e">
        <f>VLOOKUP(B12,紀錄表!$A$3:$B$30,2,0)</f>
        <v>#N/A</v>
      </c>
      <c r="D12" s="121"/>
    </row>
    <row r="13" spans="1:4" s="78" customFormat="1" ht="18.75">
      <c r="A13" s="524"/>
      <c r="B13" s="121"/>
      <c r="C13" s="119" t="e">
        <f>VLOOKUP(B13,紀錄表!$A$3:$B$30,2,0)</f>
        <v>#N/A</v>
      </c>
      <c r="D13" s="121"/>
    </row>
    <row r="14" spans="1:4" s="78" customFormat="1" ht="18.75">
      <c r="A14" s="121" t="s">
        <v>317</v>
      </c>
      <c r="B14" s="121"/>
      <c r="C14" s="121" t="s">
        <v>316</v>
      </c>
      <c r="D14" s="121">
        <f>SUM(D9:D13)</f>
        <v>0</v>
      </c>
    </row>
    <row r="15" spans="1:4" ht="18.75">
      <c r="A15" s="522" t="s">
        <v>158</v>
      </c>
      <c r="B15" s="119"/>
      <c r="C15" s="119" t="e">
        <f>VLOOKUP(B15,紀錄表!$A$3:$B$30,2,0)</f>
        <v>#N/A</v>
      </c>
      <c r="D15" s="119"/>
    </row>
    <row r="16" spans="1:4" s="78" customFormat="1" ht="18.75">
      <c r="A16" s="523"/>
      <c r="B16" s="121"/>
      <c r="C16" s="119" t="e">
        <f>VLOOKUP(B16,紀錄表!$A$3:$B$30,2,0)</f>
        <v>#N/A</v>
      </c>
      <c r="D16" s="121"/>
    </row>
    <row r="17" spans="1:4" s="78" customFormat="1" ht="18.75">
      <c r="A17" s="523"/>
      <c r="B17" s="121"/>
      <c r="C17" s="119" t="e">
        <f>VLOOKUP(B17,紀錄表!$A$3:$B$30,2,0)</f>
        <v>#N/A</v>
      </c>
      <c r="D17" s="121"/>
    </row>
    <row r="18" spans="1:4" s="78" customFormat="1" ht="18.75">
      <c r="A18" s="523"/>
      <c r="B18" s="121"/>
      <c r="C18" s="119" t="e">
        <f>VLOOKUP(B18,紀錄表!$A$3:$B$30,2,0)</f>
        <v>#N/A</v>
      </c>
      <c r="D18" s="121"/>
    </row>
    <row r="19" spans="1:4" s="78" customFormat="1" ht="18.75">
      <c r="A19" s="524"/>
      <c r="B19" s="121"/>
      <c r="C19" s="119" t="e">
        <f>VLOOKUP(B19,紀錄表!$A$3:$B$30,2,0)</f>
        <v>#N/A</v>
      </c>
      <c r="D19" s="121"/>
    </row>
    <row r="20" spans="1:4" s="78" customFormat="1" ht="18.75">
      <c r="A20" s="121" t="s">
        <v>317</v>
      </c>
      <c r="B20" s="121"/>
      <c r="C20" s="119" t="s">
        <v>318</v>
      </c>
      <c r="D20" s="121">
        <f>SUM(D15:D19)</f>
        <v>0</v>
      </c>
    </row>
    <row r="21" spans="1:4" ht="18.75">
      <c r="A21" s="522" t="s">
        <v>160</v>
      </c>
      <c r="B21" s="119"/>
      <c r="C21" s="119" t="e">
        <f>VLOOKUP(B21,紀錄表!$A$3:$B$30,2,0)</f>
        <v>#N/A</v>
      </c>
      <c r="D21" s="119"/>
    </row>
    <row r="22" spans="1:4" ht="18.75">
      <c r="A22" s="523"/>
      <c r="B22" s="119"/>
      <c r="C22" s="119" t="e">
        <f>VLOOKUP(B22,紀錄表!$A$3:$B$30,2,0)</f>
        <v>#N/A</v>
      </c>
      <c r="D22" s="119"/>
    </row>
    <row r="23" spans="1:4" s="78" customFormat="1" ht="18.75">
      <c r="A23" s="523"/>
      <c r="B23" s="121"/>
      <c r="C23" s="119" t="e">
        <f>VLOOKUP(B23,紀錄表!$A$3:$B$30,2,0)</f>
        <v>#N/A</v>
      </c>
      <c r="D23" s="121"/>
    </row>
    <row r="24" spans="1:4" s="78" customFormat="1" ht="18.75">
      <c r="A24" s="523"/>
      <c r="B24" s="121"/>
      <c r="C24" s="119" t="e">
        <f>VLOOKUP(B24,紀錄表!$A$3:$B$30,2,0)</f>
        <v>#N/A</v>
      </c>
      <c r="D24" s="121"/>
    </row>
    <row r="25" spans="1:4" s="78" customFormat="1" ht="18.75">
      <c r="A25" s="523"/>
      <c r="B25" s="121"/>
      <c r="C25" s="119" t="e">
        <f>VLOOKUP(B25,紀錄表!$A$3:$B$30,2,0)</f>
        <v>#N/A</v>
      </c>
      <c r="D25" s="121"/>
    </row>
    <row r="26" spans="1:4" s="78" customFormat="1" ht="18.75">
      <c r="A26" s="524"/>
      <c r="B26" s="121"/>
      <c r="C26" s="119" t="e">
        <f>VLOOKUP(B26,紀錄表!$A$3:$B$30,2,0)</f>
        <v>#N/A</v>
      </c>
      <c r="D26" s="121"/>
    </row>
    <row r="27" spans="1:4" s="78" customFormat="1" ht="18.75">
      <c r="A27" s="522" t="s">
        <v>317</v>
      </c>
      <c r="B27" s="121"/>
      <c r="C27" s="522" t="s">
        <v>318</v>
      </c>
      <c r="D27" s="522">
        <f>SUM(D21:D26)</f>
        <v>0</v>
      </c>
    </row>
    <row r="28" spans="1:4" s="78" customFormat="1" ht="18.75">
      <c r="A28" s="524"/>
      <c r="B28" s="121"/>
      <c r="C28" s="524"/>
      <c r="D28" s="524"/>
    </row>
    <row r="29" spans="1:4" ht="18.75">
      <c r="A29" s="522" t="s">
        <v>162</v>
      </c>
      <c r="B29" s="119"/>
      <c r="C29" s="119" t="e">
        <f>VLOOKUP(B29,紀錄表!$A$3:$B$30,2,0)</f>
        <v>#N/A</v>
      </c>
      <c r="D29" s="119"/>
    </row>
    <row r="30" spans="1:4" ht="18.75">
      <c r="A30" s="523"/>
      <c r="B30" s="119"/>
      <c r="C30" s="119" t="e">
        <f>VLOOKUP(B30,紀錄表!$A$3:$B$30,2,0)</f>
        <v>#N/A</v>
      </c>
      <c r="D30" s="119"/>
    </row>
    <row r="31" spans="1:4" s="78" customFormat="1" ht="18.75">
      <c r="A31" s="523"/>
      <c r="B31" s="121"/>
      <c r="C31" s="119" t="e">
        <f>VLOOKUP(B31,紀錄表!$A$3:$B$30,2,0)</f>
        <v>#N/A</v>
      </c>
      <c r="D31" s="121"/>
    </row>
    <row r="32" spans="1:4" s="78" customFormat="1" ht="18.75">
      <c r="A32" s="523"/>
      <c r="B32" s="121"/>
      <c r="C32" s="119" t="e">
        <f>VLOOKUP(B32,紀錄表!$A$3:$B$30,2,0)</f>
        <v>#N/A</v>
      </c>
      <c r="D32" s="121"/>
    </row>
    <row r="33" spans="1:4" s="78" customFormat="1" ht="18.75">
      <c r="A33" s="523"/>
      <c r="B33" s="121"/>
      <c r="C33" s="119" t="e">
        <f>VLOOKUP(B33,紀錄表!$A$3:$B$30,2,0)</f>
        <v>#N/A</v>
      </c>
      <c r="D33" s="121"/>
    </row>
    <row r="34" spans="1:4" s="78" customFormat="1" ht="18.75">
      <c r="A34" s="524"/>
      <c r="B34" s="121"/>
      <c r="C34" s="119" t="e">
        <f>VLOOKUP(B34,紀錄表!$A$3:$B$30,2,0)</f>
        <v>#N/A</v>
      </c>
      <c r="D34" s="121"/>
    </row>
    <row r="35" spans="1:4" s="78" customFormat="1" ht="18.75">
      <c r="A35" s="522" t="s">
        <v>317</v>
      </c>
      <c r="B35" s="121"/>
      <c r="C35" s="522" t="s">
        <v>318</v>
      </c>
      <c r="D35" s="522">
        <f>SUM(D29:D34)</f>
        <v>0</v>
      </c>
    </row>
    <row r="36" spans="1:4" s="78" customFormat="1" ht="18.75">
      <c r="A36" s="524"/>
      <c r="B36" s="121"/>
      <c r="C36" s="524"/>
      <c r="D36" s="524"/>
    </row>
    <row r="37" spans="1:4" ht="18.75">
      <c r="A37" s="522" t="s">
        <v>164</v>
      </c>
      <c r="B37" s="119"/>
      <c r="C37" s="119" t="e">
        <f>VLOOKUP(B37,紀錄表!$A$3:$B$30,2,0)</f>
        <v>#N/A</v>
      </c>
      <c r="D37" s="119"/>
    </row>
    <row r="38" spans="1:4" ht="18.75">
      <c r="A38" s="523"/>
      <c r="B38" s="119"/>
      <c r="C38" s="119" t="e">
        <f>VLOOKUP(B38,紀錄表!$A$3:$B$30,2,0)</f>
        <v>#N/A</v>
      </c>
      <c r="D38" s="119"/>
    </row>
    <row r="39" spans="1:4" s="78" customFormat="1" ht="18.75">
      <c r="A39" s="523"/>
      <c r="B39" s="121"/>
      <c r="C39" s="119" t="e">
        <f>VLOOKUP(B39,紀錄表!$A$3:$B$30,2,0)</f>
        <v>#N/A</v>
      </c>
      <c r="D39" s="121"/>
    </row>
    <row r="40" spans="1:4" s="78" customFormat="1" ht="18.75">
      <c r="A40" s="523"/>
      <c r="B40" s="121"/>
      <c r="C40" s="119" t="e">
        <f>VLOOKUP(B40,紀錄表!$A$3:$B$30,2,0)</f>
        <v>#N/A</v>
      </c>
      <c r="D40" s="121"/>
    </row>
    <row r="41" spans="1:4" s="78" customFormat="1" ht="18.75">
      <c r="A41" s="524"/>
      <c r="B41" s="121"/>
      <c r="C41" s="119" t="e">
        <f>VLOOKUP(B41,紀錄表!$A$3:$B$30,2,0)</f>
        <v>#N/A</v>
      </c>
      <c r="D41" s="121"/>
    </row>
    <row r="42" spans="1:4" s="78" customFormat="1" ht="18.75">
      <c r="A42" s="522" t="s">
        <v>317</v>
      </c>
      <c r="B42" s="121"/>
      <c r="C42" s="522" t="s">
        <v>318</v>
      </c>
      <c r="D42" s="522">
        <f>SUM(D36:D41)</f>
        <v>0</v>
      </c>
    </row>
    <row r="43" spans="1:4" s="78" customFormat="1" ht="18.75">
      <c r="A43" s="524"/>
      <c r="B43" s="121"/>
      <c r="C43" s="524"/>
      <c r="D43" s="524"/>
    </row>
    <row r="44" spans="1:4" ht="18.75">
      <c r="A44" s="522" t="s">
        <v>166</v>
      </c>
      <c r="B44" s="121"/>
      <c r="C44" s="121" t="e">
        <f>VLOOKUP(B44,紀錄表!$A$3:$B$30,2,0)</f>
        <v>#N/A</v>
      </c>
      <c r="D44" s="121"/>
    </row>
    <row r="45" spans="1:4" s="78" customFormat="1" ht="18.75">
      <c r="A45" s="523"/>
      <c r="B45" s="121"/>
      <c r="C45" s="121" t="e">
        <f>VLOOKUP(B45,紀錄表!$A$3:$B$30,2,0)</f>
        <v>#N/A</v>
      </c>
      <c r="D45" s="121"/>
    </row>
    <row r="46" spans="1:4" s="78" customFormat="1" ht="18.75">
      <c r="A46" s="523"/>
      <c r="B46" s="121"/>
      <c r="C46" s="121" t="e">
        <f>VLOOKUP(B46,紀錄表!$A$3:$B$30,2,0)</f>
        <v>#N/A</v>
      </c>
      <c r="D46" s="121"/>
    </row>
    <row r="47" spans="1:4" s="78" customFormat="1" ht="18.75">
      <c r="A47" s="523"/>
      <c r="B47" s="121"/>
      <c r="C47" s="121" t="e">
        <f>VLOOKUP(B47,紀錄表!$A$3:$B$30,2,0)</f>
        <v>#N/A</v>
      </c>
      <c r="D47" s="121"/>
    </row>
    <row r="48" spans="1:4" s="78" customFormat="1" ht="18.75">
      <c r="A48" s="524"/>
      <c r="B48" s="121"/>
      <c r="C48" s="121" t="e">
        <f>VLOOKUP(B48,紀錄表!$A$3:$B$30,2,0)</f>
        <v>#N/A</v>
      </c>
      <c r="D48" s="121"/>
    </row>
    <row r="49" spans="1:4" s="78" customFormat="1" ht="18.75">
      <c r="A49" s="121" t="s">
        <v>317</v>
      </c>
      <c r="B49" s="121"/>
      <c r="C49" s="121" t="s">
        <v>318</v>
      </c>
      <c r="D49" s="121">
        <f>SUM(D44:D48)</f>
        <v>0</v>
      </c>
    </row>
    <row r="50" spans="1:4" s="78" customFormat="1" ht="18.75">
      <c r="A50" s="121"/>
      <c r="B50" s="121"/>
      <c r="C50" s="121"/>
      <c r="D50" s="121"/>
    </row>
    <row r="51" spans="1:4">
      <c r="A51" s="110"/>
      <c r="B51" s="110"/>
      <c r="C51" s="110"/>
      <c r="D51" s="111"/>
    </row>
  </sheetData>
  <mergeCells count="18">
    <mergeCell ref="A44:A48"/>
    <mergeCell ref="C27:C28"/>
    <mergeCell ref="A2:C2"/>
    <mergeCell ref="A3:A7"/>
    <mergeCell ref="A9:A13"/>
    <mergeCell ref="A15:A19"/>
    <mergeCell ref="A21:A26"/>
    <mergeCell ref="A27:A28"/>
    <mergeCell ref="A1:D1"/>
    <mergeCell ref="A29:A34"/>
    <mergeCell ref="A35:A36"/>
    <mergeCell ref="A37:A41"/>
    <mergeCell ref="A42:A43"/>
    <mergeCell ref="D27:D28"/>
    <mergeCell ref="C35:C36"/>
    <mergeCell ref="D35:D36"/>
    <mergeCell ref="C42:C43"/>
    <mergeCell ref="D42:D4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0"/>
  <sheetViews>
    <sheetView workbookViewId="0">
      <selection activeCell="F10" sqref="F10"/>
    </sheetView>
  </sheetViews>
  <sheetFormatPr defaultColWidth="9" defaultRowHeight="16.5"/>
  <cols>
    <col min="1" max="1" width="8.125" style="57" customWidth="1"/>
    <col min="2" max="2" width="9" style="57"/>
    <col min="3" max="7" width="9" style="82"/>
    <col min="8" max="8" width="9" style="57"/>
    <col min="9" max="16384" width="9" style="82"/>
  </cols>
  <sheetData>
    <row r="1" spans="1:11" ht="21.75" customHeight="1" thickTop="1" thickBot="1">
      <c r="A1" s="546" t="s">
        <v>994</v>
      </c>
      <c r="B1" s="547"/>
      <c r="C1" s="547"/>
      <c r="D1" s="547"/>
      <c r="E1" s="547"/>
      <c r="F1" s="547"/>
      <c r="G1" s="547"/>
      <c r="H1" s="80" t="s">
        <v>250</v>
      </c>
      <c r="I1" s="80"/>
      <c r="J1" s="80"/>
      <c r="K1" s="81"/>
    </row>
    <row r="2" spans="1:11" ht="21.75" customHeight="1" thickTop="1">
      <c r="A2" s="83" t="s">
        <v>251</v>
      </c>
      <c r="B2" s="84" t="s">
        <v>466</v>
      </c>
      <c r="C2" s="84" t="s">
        <v>467</v>
      </c>
      <c r="D2" s="84" t="s">
        <v>569</v>
      </c>
      <c r="E2" s="84" t="s">
        <v>568</v>
      </c>
      <c r="F2" s="85" t="s">
        <v>235</v>
      </c>
      <c r="G2" s="86" t="s">
        <v>567</v>
      </c>
      <c r="H2" s="540" t="s">
        <v>283</v>
      </c>
      <c r="I2" s="541"/>
      <c r="J2" s="541"/>
      <c r="K2" s="542"/>
    </row>
    <row r="3" spans="1:11" ht="21.75" customHeight="1">
      <c r="A3" s="87">
        <v>1</v>
      </c>
      <c r="B3" s="88"/>
      <c r="C3" s="89"/>
      <c r="D3" s="89"/>
      <c r="E3" s="89"/>
      <c r="F3" s="90"/>
      <c r="G3" s="91"/>
      <c r="H3" s="87"/>
      <c r="I3" s="88" t="s">
        <v>282</v>
      </c>
      <c r="J3" s="88" t="s">
        <v>284</v>
      </c>
      <c r="K3" s="92" t="s">
        <v>278</v>
      </c>
    </row>
    <row r="4" spans="1:11" ht="21.75" customHeight="1">
      <c r="A4" s="87">
        <v>2</v>
      </c>
      <c r="B4" s="88"/>
      <c r="C4" s="89"/>
      <c r="D4" s="89"/>
      <c r="E4" s="89"/>
      <c r="F4" s="90"/>
      <c r="G4" s="91"/>
      <c r="H4" s="87" t="s">
        <v>253</v>
      </c>
      <c r="I4" s="89"/>
      <c r="J4" s="89"/>
      <c r="K4" s="91"/>
    </row>
    <row r="5" spans="1:11" ht="21.75" customHeight="1">
      <c r="A5" s="87">
        <v>3</v>
      </c>
      <c r="B5" s="88"/>
      <c r="C5" s="89"/>
      <c r="D5" s="89"/>
      <c r="E5" s="89"/>
      <c r="F5" s="90"/>
      <c r="G5" s="91"/>
      <c r="H5" s="87" t="s">
        <v>254</v>
      </c>
      <c r="I5" s="89"/>
      <c r="J5" s="89"/>
      <c r="K5" s="91"/>
    </row>
    <row r="6" spans="1:11" ht="21.75" customHeight="1">
      <c r="A6" s="87">
        <v>4</v>
      </c>
      <c r="B6" s="88"/>
      <c r="C6" s="89"/>
      <c r="D6" s="89"/>
      <c r="E6" s="89"/>
      <c r="F6" s="90"/>
      <c r="G6" s="91"/>
      <c r="H6" s="87"/>
      <c r="I6" s="88" t="s">
        <v>255</v>
      </c>
      <c r="J6" s="88" t="s">
        <v>256</v>
      </c>
      <c r="K6" s="92" t="s">
        <v>257</v>
      </c>
    </row>
    <row r="7" spans="1:11" ht="21.75" customHeight="1">
      <c r="A7" s="87">
        <v>5</v>
      </c>
      <c r="B7" s="88"/>
      <c r="C7" s="89"/>
      <c r="D7" s="89"/>
      <c r="E7" s="89"/>
      <c r="F7" s="90"/>
      <c r="G7" s="91"/>
      <c r="H7" s="87" t="s">
        <v>258</v>
      </c>
      <c r="I7" s="89"/>
      <c r="J7" s="89"/>
      <c r="K7" s="91"/>
    </row>
    <row r="8" spans="1:11" ht="21.75" customHeight="1">
      <c r="A8" s="87">
        <v>6</v>
      </c>
      <c r="B8" s="88"/>
      <c r="C8" s="89"/>
      <c r="D8" s="89"/>
      <c r="E8" s="89"/>
      <c r="F8" s="90"/>
      <c r="G8" s="91"/>
      <c r="H8" s="87" t="s">
        <v>259</v>
      </c>
      <c r="I8" s="89"/>
      <c r="J8" s="89"/>
      <c r="K8" s="91"/>
    </row>
    <row r="9" spans="1:11" ht="21.75" customHeight="1" thickBot="1">
      <c r="A9" s="87">
        <v>7</v>
      </c>
      <c r="B9" s="88"/>
      <c r="C9" s="89"/>
      <c r="D9" s="89"/>
      <c r="E9" s="89"/>
      <c r="F9" s="90"/>
      <c r="G9" s="91"/>
      <c r="H9" s="93" t="s">
        <v>260</v>
      </c>
      <c r="I9" s="534"/>
      <c r="J9" s="534"/>
      <c r="K9" s="535"/>
    </row>
    <row r="10" spans="1:11" ht="21.75" customHeight="1" thickTop="1">
      <c r="A10" s="87"/>
      <c r="B10" s="88"/>
      <c r="C10" s="88"/>
      <c r="D10" s="89"/>
      <c r="E10" s="89"/>
      <c r="F10" s="94"/>
      <c r="G10" s="91"/>
      <c r="H10" s="540" t="s">
        <v>285</v>
      </c>
      <c r="I10" s="541"/>
      <c r="J10" s="541"/>
      <c r="K10" s="542"/>
    </row>
    <row r="11" spans="1:11" ht="21.75" customHeight="1">
      <c r="A11" s="87"/>
      <c r="B11" s="88"/>
      <c r="C11" s="88"/>
      <c r="D11" s="89"/>
      <c r="E11" s="89"/>
      <c r="F11" s="94"/>
      <c r="G11" s="91"/>
      <c r="H11" s="95" t="s">
        <v>286</v>
      </c>
      <c r="I11" s="88" t="s">
        <v>291</v>
      </c>
      <c r="J11" s="88" t="s">
        <v>288</v>
      </c>
      <c r="K11" s="92" t="s">
        <v>566</v>
      </c>
    </row>
    <row r="12" spans="1:11" ht="22.5" customHeight="1" thickBot="1">
      <c r="A12" s="93" t="s">
        <v>261</v>
      </c>
      <c r="B12" s="525"/>
      <c r="C12" s="526"/>
      <c r="D12" s="526"/>
      <c r="E12" s="526"/>
      <c r="F12" s="526"/>
      <c r="G12" s="527"/>
      <c r="H12" s="95"/>
      <c r="I12" s="89"/>
      <c r="J12" s="89"/>
      <c r="K12" s="91"/>
    </row>
    <row r="13" spans="1:11" ht="22.5" customHeight="1" thickTop="1">
      <c r="A13" s="83">
        <v>8</v>
      </c>
      <c r="B13" s="84"/>
      <c r="C13" s="96"/>
      <c r="D13" s="96"/>
      <c r="E13" s="96"/>
      <c r="F13" s="97"/>
      <c r="G13" s="98"/>
      <c r="H13" s="95" t="s">
        <v>287</v>
      </c>
      <c r="I13" s="88" t="s">
        <v>292</v>
      </c>
      <c r="J13" s="88" t="s">
        <v>565</v>
      </c>
      <c r="K13" s="92" t="s">
        <v>294</v>
      </c>
    </row>
    <row r="14" spans="1:11" ht="22.5" customHeight="1">
      <c r="A14" s="87">
        <v>9</v>
      </c>
      <c r="B14" s="88"/>
      <c r="C14" s="89"/>
      <c r="D14" s="89"/>
      <c r="E14" s="89"/>
      <c r="F14" s="90"/>
      <c r="G14" s="91"/>
      <c r="H14" s="95"/>
      <c r="I14" s="89"/>
      <c r="J14" s="89"/>
      <c r="K14" s="91"/>
    </row>
    <row r="15" spans="1:11" ht="22.5" customHeight="1">
      <c r="A15" s="87">
        <v>10</v>
      </c>
      <c r="B15" s="88"/>
      <c r="C15" s="89"/>
      <c r="D15" s="89"/>
      <c r="E15" s="89"/>
      <c r="F15" s="90"/>
      <c r="G15" s="91"/>
      <c r="H15" s="95" t="s">
        <v>289</v>
      </c>
      <c r="I15" s="88" t="s">
        <v>293</v>
      </c>
      <c r="J15" s="88" t="s">
        <v>468</v>
      </c>
      <c r="K15" s="91" t="s">
        <v>295</v>
      </c>
    </row>
    <row r="16" spans="1:11" ht="22.5" customHeight="1">
      <c r="A16" s="87">
        <v>11</v>
      </c>
      <c r="B16" s="88"/>
      <c r="C16" s="89"/>
      <c r="D16" s="89"/>
      <c r="E16" s="89"/>
      <c r="F16" s="90"/>
      <c r="G16" s="91"/>
      <c r="H16" s="95"/>
      <c r="I16" s="89"/>
      <c r="J16" s="89"/>
      <c r="K16" s="91"/>
    </row>
    <row r="17" spans="1:11" ht="22.5" customHeight="1">
      <c r="A17" s="87">
        <v>12</v>
      </c>
      <c r="B17" s="88"/>
      <c r="C17" s="89"/>
      <c r="D17" s="89"/>
      <c r="E17" s="89"/>
      <c r="F17" s="90"/>
      <c r="G17" s="91"/>
      <c r="H17" s="95" t="s">
        <v>290</v>
      </c>
      <c r="I17" s="88" t="s">
        <v>571</v>
      </c>
      <c r="J17" s="88" t="s">
        <v>572</v>
      </c>
      <c r="K17" s="104" t="s">
        <v>296</v>
      </c>
    </row>
    <row r="18" spans="1:11" ht="22.5" customHeight="1">
      <c r="A18" s="87">
        <v>13</v>
      </c>
      <c r="B18" s="88"/>
      <c r="C18" s="89"/>
      <c r="D18" s="89"/>
      <c r="E18" s="89"/>
      <c r="F18" s="90"/>
      <c r="G18" s="91"/>
      <c r="H18" s="95"/>
      <c r="I18" s="89"/>
      <c r="J18" s="89"/>
      <c r="K18" s="91"/>
    </row>
    <row r="19" spans="1:11" ht="22.5" customHeight="1" thickBot="1">
      <c r="A19" s="87">
        <v>14</v>
      </c>
      <c r="B19" s="88"/>
      <c r="C19" s="89"/>
      <c r="D19" s="89"/>
      <c r="E19" s="89"/>
      <c r="F19" s="90"/>
      <c r="G19" s="91"/>
      <c r="H19" s="99" t="s">
        <v>262</v>
      </c>
      <c r="I19" s="538"/>
      <c r="J19" s="538"/>
      <c r="K19" s="539"/>
    </row>
    <row r="20" spans="1:11" ht="22.5" customHeight="1" thickTop="1">
      <c r="A20" s="87"/>
      <c r="B20" s="88"/>
      <c r="C20" s="88"/>
      <c r="D20" s="88"/>
      <c r="E20" s="88"/>
      <c r="F20" s="94"/>
      <c r="G20" s="91"/>
      <c r="H20" s="540" t="s">
        <v>263</v>
      </c>
      <c r="I20" s="541"/>
      <c r="J20" s="541"/>
      <c r="K20" s="542"/>
    </row>
    <row r="21" spans="1:11" ht="22.5" customHeight="1">
      <c r="A21" s="87"/>
      <c r="B21" s="88"/>
      <c r="C21" s="88"/>
      <c r="D21" s="88"/>
      <c r="E21" s="88"/>
      <c r="F21" s="94"/>
      <c r="G21" s="91"/>
      <c r="H21" s="95" t="s">
        <v>264</v>
      </c>
      <c r="I21" s="88" t="s">
        <v>265</v>
      </c>
      <c r="J21" s="100" t="s">
        <v>264</v>
      </c>
      <c r="K21" s="92" t="s">
        <v>265</v>
      </c>
    </row>
    <row r="22" spans="1:11" ht="22.5" customHeight="1" thickBot="1">
      <c r="A22" s="101" t="s">
        <v>266</v>
      </c>
      <c r="B22" s="543"/>
      <c r="C22" s="544"/>
      <c r="D22" s="544"/>
      <c r="E22" s="544"/>
      <c r="F22" s="544"/>
      <c r="G22" s="545"/>
      <c r="H22" s="87">
        <v>1</v>
      </c>
      <c r="I22" s="89"/>
      <c r="J22" s="88">
        <v>8</v>
      </c>
      <c r="K22" s="91"/>
    </row>
    <row r="23" spans="1:11" ht="21.75" customHeight="1" thickTop="1">
      <c r="A23" s="83" t="s">
        <v>267</v>
      </c>
      <c r="B23" s="84" t="s">
        <v>269</v>
      </c>
      <c r="C23" s="84" t="s">
        <v>281</v>
      </c>
      <c r="D23" s="84" t="s">
        <v>279</v>
      </c>
      <c r="E23" s="84" t="s">
        <v>268</v>
      </c>
      <c r="F23" s="84" t="s">
        <v>280</v>
      </c>
      <c r="G23" s="86"/>
      <c r="H23" s="87">
        <v>2</v>
      </c>
      <c r="I23" s="89"/>
      <c r="J23" s="88">
        <v>9</v>
      </c>
      <c r="K23" s="91"/>
    </row>
    <row r="24" spans="1:11" ht="21.75" customHeight="1">
      <c r="A24" s="87">
        <v>1</v>
      </c>
      <c r="B24" s="88"/>
      <c r="C24" s="89"/>
      <c r="D24" s="89"/>
      <c r="E24" s="89"/>
      <c r="F24" s="88"/>
      <c r="G24" s="91"/>
      <c r="H24" s="87">
        <v>3</v>
      </c>
      <c r="I24" s="89"/>
      <c r="J24" s="88">
        <v>10</v>
      </c>
      <c r="K24" s="91"/>
    </row>
    <row r="25" spans="1:11" ht="21.75" customHeight="1">
      <c r="A25" s="87">
        <v>2</v>
      </c>
      <c r="B25" s="88"/>
      <c r="C25" s="89"/>
      <c r="D25" s="89"/>
      <c r="E25" s="89"/>
      <c r="F25" s="88"/>
      <c r="G25" s="91"/>
      <c r="H25" s="87">
        <v>4</v>
      </c>
      <c r="I25" s="89"/>
      <c r="J25" s="88">
        <v>11</v>
      </c>
      <c r="K25" s="91"/>
    </row>
    <row r="26" spans="1:11" ht="21.75" customHeight="1">
      <c r="A26" s="87">
        <v>3</v>
      </c>
      <c r="B26" s="88"/>
      <c r="C26" s="89"/>
      <c r="D26" s="89"/>
      <c r="E26" s="89"/>
      <c r="F26" s="88"/>
      <c r="G26" s="91"/>
      <c r="H26" s="87">
        <v>5</v>
      </c>
      <c r="I26" s="89"/>
      <c r="J26" s="88">
        <v>12</v>
      </c>
      <c r="K26" s="91"/>
    </row>
    <row r="27" spans="1:11" ht="21.75" customHeight="1">
      <c r="A27" s="87">
        <v>4</v>
      </c>
      <c r="B27" s="88"/>
      <c r="C27" s="89"/>
      <c r="D27" s="89"/>
      <c r="E27" s="89"/>
      <c r="F27" s="88"/>
      <c r="G27" s="91"/>
      <c r="H27" s="87">
        <v>6</v>
      </c>
      <c r="I27" s="89"/>
      <c r="J27" s="88">
        <v>13</v>
      </c>
      <c r="K27" s="91"/>
    </row>
    <row r="28" spans="1:11" ht="21.75" customHeight="1">
      <c r="A28" s="87">
        <v>5</v>
      </c>
      <c r="B28" s="88"/>
      <c r="C28" s="89"/>
      <c r="D28" s="89"/>
      <c r="E28" s="89"/>
      <c r="F28" s="88"/>
      <c r="G28" s="91"/>
      <c r="H28" s="87">
        <v>7</v>
      </c>
      <c r="I28" s="89"/>
      <c r="J28" s="88">
        <v>14</v>
      </c>
      <c r="K28" s="91"/>
    </row>
    <row r="29" spans="1:11" ht="21.75" customHeight="1">
      <c r="A29" s="87"/>
      <c r="B29" s="88"/>
      <c r="C29" s="89"/>
      <c r="D29" s="89"/>
      <c r="E29" s="89"/>
      <c r="F29" s="88"/>
      <c r="G29" s="91"/>
      <c r="H29" s="87" t="s">
        <v>270</v>
      </c>
      <c r="I29" s="89"/>
      <c r="J29" s="88" t="s">
        <v>270</v>
      </c>
      <c r="K29" s="91"/>
    </row>
    <row r="30" spans="1:11" ht="21.75" customHeight="1">
      <c r="A30" s="87"/>
      <c r="B30" s="88"/>
      <c r="C30" s="88"/>
      <c r="D30" s="89"/>
      <c r="E30" s="89"/>
      <c r="F30" s="88"/>
      <c r="G30" s="102"/>
      <c r="H30" s="530" t="s">
        <v>262</v>
      </c>
      <c r="I30" s="531"/>
      <c r="J30" s="531" t="s">
        <v>262</v>
      </c>
      <c r="K30" s="532"/>
    </row>
    <row r="31" spans="1:11" ht="24.75" customHeight="1" thickBot="1">
      <c r="A31" s="93" t="s">
        <v>271</v>
      </c>
      <c r="B31" s="525"/>
      <c r="C31" s="526"/>
      <c r="D31" s="526"/>
      <c r="E31" s="526"/>
      <c r="F31" s="526"/>
      <c r="G31" s="527"/>
      <c r="H31" s="533"/>
      <c r="I31" s="534"/>
      <c r="J31" s="534"/>
      <c r="K31" s="535"/>
    </row>
    <row r="32" spans="1:11" ht="21.75" customHeight="1" thickTop="1">
      <c r="A32" s="83">
        <v>6</v>
      </c>
      <c r="B32" s="84"/>
      <c r="C32" s="96"/>
      <c r="D32" s="96"/>
      <c r="E32" s="96"/>
      <c r="F32" s="96"/>
      <c r="G32" s="103"/>
      <c r="H32" s="536" t="s">
        <v>272</v>
      </c>
      <c r="I32" s="537"/>
      <c r="J32" s="528" t="s">
        <v>273</v>
      </c>
      <c r="K32" s="529"/>
    </row>
    <row r="33" spans="1:11" ht="21.75" customHeight="1">
      <c r="A33" s="87">
        <v>7</v>
      </c>
      <c r="B33" s="88"/>
      <c r="C33" s="89"/>
      <c r="D33" s="89"/>
      <c r="E33" s="89"/>
      <c r="F33" s="88"/>
      <c r="G33" s="91"/>
      <c r="H33" s="87" t="s">
        <v>274</v>
      </c>
      <c r="I33" s="91"/>
      <c r="J33" s="87" t="s">
        <v>274</v>
      </c>
      <c r="K33" s="91"/>
    </row>
    <row r="34" spans="1:11" ht="21.75" customHeight="1">
      <c r="A34" s="87">
        <v>8</v>
      </c>
      <c r="B34" s="88"/>
      <c r="C34" s="89"/>
      <c r="D34" s="89"/>
      <c r="E34" s="89"/>
      <c r="F34" s="88"/>
      <c r="G34" s="91"/>
      <c r="H34" s="87" t="s">
        <v>275</v>
      </c>
      <c r="I34" s="91"/>
      <c r="J34" s="87" t="s">
        <v>275</v>
      </c>
      <c r="K34" s="91"/>
    </row>
    <row r="35" spans="1:11" ht="21.75" customHeight="1">
      <c r="A35" s="87">
        <v>9</v>
      </c>
      <c r="B35" s="88"/>
      <c r="C35" s="89"/>
      <c r="D35" s="89"/>
      <c r="E35" s="89"/>
      <c r="F35" s="88"/>
      <c r="G35" s="91"/>
      <c r="H35" s="87" t="s">
        <v>276</v>
      </c>
      <c r="I35" s="91"/>
      <c r="J35" s="87" t="s">
        <v>276</v>
      </c>
      <c r="K35" s="91"/>
    </row>
    <row r="36" spans="1:11" ht="21.75" customHeight="1">
      <c r="A36" s="87">
        <v>10</v>
      </c>
      <c r="B36" s="88"/>
      <c r="C36" s="89"/>
      <c r="D36" s="89"/>
      <c r="E36" s="89"/>
      <c r="F36" s="88"/>
      <c r="G36" s="91"/>
      <c r="H36" s="87" t="s">
        <v>237</v>
      </c>
      <c r="I36" s="91"/>
      <c r="J36" s="87" t="s">
        <v>237</v>
      </c>
      <c r="K36" s="91"/>
    </row>
    <row r="37" spans="1:11" ht="21.75" customHeight="1">
      <c r="A37" s="87"/>
      <c r="B37" s="88"/>
      <c r="C37" s="89"/>
      <c r="D37" s="89"/>
      <c r="E37" s="89"/>
      <c r="F37" s="88"/>
      <c r="G37" s="91"/>
      <c r="H37" s="87" t="s">
        <v>277</v>
      </c>
      <c r="I37" s="91"/>
      <c r="J37" s="87" t="s">
        <v>277</v>
      </c>
      <c r="K37" s="91"/>
    </row>
    <row r="38" spans="1:11" ht="21.75" customHeight="1">
      <c r="A38" s="87"/>
      <c r="B38" s="88"/>
      <c r="C38" s="88"/>
      <c r="D38" s="89"/>
      <c r="E38" s="89"/>
      <c r="F38" s="88"/>
      <c r="G38" s="91"/>
      <c r="H38" s="530" t="s">
        <v>262</v>
      </c>
      <c r="I38" s="531"/>
      <c r="J38" s="531" t="s">
        <v>262</v>
      </c>
      <c r="K38" s="532"/>
    </row>
    <row r="39" spans="1:11" ht="24.75" customHeight="1" thickBot="1">
      <c r="A39" s="93" t="s">
        <v>271</v>
      </c>
      <c r="B39" s="525"/>
      <c r="C39" s="526"/>
      <c r="D39" s="526"/>
      <c r="E39" s="526"/>
      <c r="F39" s="526"/>
      <c r="G39" s="527"/>
      <c r="H39" s="533"/>
      <c r="I39" s="534"/>
      <c r="J39" s="534"/>
      <c r="K39" s="535"/>
    </row>
    <row r="40" spans="1:11" ht="17.25" thickTop="1"/>
  </sheetData>
  <mergeCells count="20">
    <mergeCell ref="A1:G1"/>
    <mergeCell ref="H2:K2"/>
    <mergeCell ref="I9:K9"/>
    <mergeCell ref="H10:K10"/>
    <mergeCell ref="B12:G12"/>
    <mergeCell ref="H31:I31"/>
    <mergeCell ref="J31:K31"/>
    <mergeCell ref="H32:I32"/>
    <mergeCell ref="B31:G31"/>
    <mergeCell ref="I19:K19"/>
    <mergeCell ref="H20:K20"/>
    <mergeCell ref="B22:G22"/>
    <mergeCell ref="H30:I30"/>
    <mergeCell ref="J30:K30"/>
    <mergeCell ref="B39:G39"/>
    <mergeCell ref="J32:K32"/>
    <mergeCell ref="H38:I38"/>
    <mergeCell ref="J38:K38"/>
    <mergeCell ref="H39:I39"/>
    <mergeCell ref="J39:K39"/>
  </mergeCells>
  <phoneticPr fontId="2" type="noConversion"/>
  <pageMargins left="0.19685039370078741" right="0.19685039370078741" top="0" bottom="0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31"/>
  <sheetViews>
    <sheetView workbookViewId="0">
      <selection activeCell="B27" sqref="B27"/>
    </sheetView>
  </sheetViews>
  <sheetFormatPr defaultRowHeight="16.5"/>
  <cols>
    <col min="1" max="1" width="5" style="78" customWidth="1"/>
    <col min="2" max="2" width="7.625" style="78" customWidth="1"/>
    <col min="3" max="27" width="4.75" style="78" customWidth="1"/>
    <col min="28" max="16384" width="9" style="78"/>
  </cols>
  <sheetData>
    <row r="1" spans="1:27" ht="17.25" thickTop="1">
      <c r="A1" s="461">
        <v>407</v>
      </c>
      <c r="B1" s="462"/>
      <c r="C1" s="350"/>
      <c r="D1" s="350"/>
      <c r="E1" s="350"/>
      <c r="F1" s="350"/>
      <c r="G1" s="350"/>
      <c r="H1" s="350"/>
      <c r="I1" s="350"/>
      <c r="J1" s="350"/>
      <c r="K1" s="350"/>
      <c r="L1" s="351"/>
      <c r="M1" s="548" t="s">
        <v>536</v>
      </c>
      <c r="N1" s="509"/>
      <c r="O1" s="509"/>
      <c r="P1" s="509"/>
      <c r="Q1" s="509"/>
      <c r="R1" s="509"/>
      <c r="S1" s="509"/>
      <c r="T1" s="509"/>
      <c r="U1" s="462"/>
      <c r="V1" s="11"/>
      <c r="W1" s="11"/>
      <c r="X1" s="11"/>
      <c r="Y1" s="11"/>
      <c r="Z1" s="11"/>
      <c r="AA1" s="12"/>
    </row>
    <row r="2" spans="1:27">
      <c r="A2" s="40" t="s">
        <v>102</v>
      </c>
      <c r="B2" s="14" t="s">
        <v>0</v>
      </c>
      <c r="C2" s="27" t="s">
        <v>920</v>
      </c>
      <c r="D2" s="27" t="s">
        <v>1035</v>
      </c>
      <c r="E2" s="27" t="s">
        <v>1036</v>
      </c>
      <c r="F2" s="27" t="s">
        <v>1037</v>
      </c>
      <c r="G2" s="27" t="s">
        <v>1038</v>
      </c>
      <c r="H2" s="118" t="s">
        <v>1039</v>
      </c>
      <c r="I2" s="577" t="s">
        <v>1040</v>
      </c>
      <c r="J2" s="118" t="s">
        <v>411</v>
      </c>
      <c r="K2" s="27" t="s">
        <v>382</v>
      </c>
      <c r="L2" s="27" t="s">
        <v>383</v>
      </c>
      <c r="M2" s="27" t="s">
        <v>537</v>
      </c>
      <c r="N2" s="27" t="s">
        <v>540</v>
      </c>
      <c r="O2" s="27" t="s">
        <v>541</v>
      </c>
      <c r="P2" s="27" t="s">
        <v>542</v>
      </c>
      <c r="Q2" s="15" t="s">
        <v>543</v>
      </c>
      <c r="R2" s="15" t="s">
        <v>544</v>
      </c>
      <c r="S2" s="15" t="s">
        <v>545</v>
      </c>
      <c r="T2" s="15" t="s">
        <v>538</v>
      </c>
      <c r="U2" s="15" t="s">
        <v>539</v>
      </c>
      <c r="V2" s="15"/>
      <c r="W2" s="15"/>
      <c r="X2" s="15"/>
      <c r="Y2" s="15"/>
      <c r="Z2" s="15"/>
      <c r="AA2" s="16"/>
    </row>
    <row r="3" spans="1:27" ht="18" customHeight="1">
      <c r="A3" s="147">
        <v>1</v>
      </c>
      <c r="B3" s="135" t="str">
        <f>VLOOKUP(A3,緊急聯絡!A$2:C$27,3,0)</f>
        <v>陳威劭</v>
      </c>
      <c r="C3" s="14">
        <v>92</v>
      </c>
      <c r="D3" s="14">
        <v>100</v>
      </c>
      <c r="E3" s="14">
        <v>98</v>
      </c>
      <c r="F3" s="307">
        <v>98</v>
      </c>
      <c r="G3" s="307">
        <v>98</v>
      </c>
      <c r="H3" s="135">
        <v>95</v>
      </c>
      <c r="I3" s="307">
        <v>95</v>
      </c>
      <c r="J3" s="135">
        <v>90</v>
      </c>
      <c r="K3" s="14">
        <f>AVERAGE(C3:J3)</f>
        <v>95.75</v>
      </c>
      <c r="L3" s="14">
        <f t="shared" ref="L3:L29" si="0">RANK(K3,$K$3:$K$29,0)</f>
        <v>7</v>
      </c>
      <c r="M3" s="14"/>
      <c r="N3" s="14"/>
      <c r="O3" s="14"/>
      <c r="P3" s="14"/>
      <c r="Q3" s="15"/>
      <c r="R3" s="15"/>
      <c r="S3" s="15"/>
      <c r="T3" s="15" t="e">
        <f>AVERAGE(M3:S3)</f>
        <v>#DIV/0!</v>
      </c>
      <c r="U3" s="15" t="e">
        <f>RANK(T3,$T$3:$T$29,0)</f>
        <v>#DIV/0!</v>
      </c>
      <c r="V3" s="15"/>
      <c r="W3" s="15"/>
      <c r="X3" s="15"/>
      <c r="Y3" s="15"/>
      <c r="Z3" s="15"/>
      <c r="AA3" s="16"/>
    </row>
    <row r="4" spans="1:27" ht="18" customHeight="1">
      <c r="A4" s="147">
        <v>2</v>
      </c>
      <c r="B4" s="135" t="str">
        <f>VLOOKUP(A4,緊急聯絡!A$2:C$27,3,0)</f>
        <v>周宗慶</v>
      </c>
      <c r="C4" s="14">
        <v>90</v>
      </c>
      <c r="D4" s="14">
        <v>90</v>
      </c>
      <c r="E4" s="14">
        <v>90</v>
      </c>
      <c r="F4" s="307">
        <v>95</v>
      </c>
      <c r="G4" s="307">
        <v>95</v>
      </c>
      <c r="H4" s="135">
        <v>99</v>
      </c>
      <c r="I4" s="307">
        <v>96</v>
      </c>
      <c r="J4" s="135">
        <v>90</v>
      </c>
      <c r="K4" s="14">
        <f>AVERAGE(C4:J4)</f>
        <v>93.125</v>
      </c>
      <c r="L4" s="578">
        <f t="shared" si="0"/>
        <v>11</v>
      </c>
      <c r="M4" s="14"/>
      <c r="N4" s="14"/>
      <c r="O4" s="14"/>
      <c r="P4" s="14"/>
      <c r="Q4" s="15"/>
      <c r="R4" s="15"/>
      <c r="S4" s="15"/>
      <c r="T4" s="15" t="e">
        <f t="shared" ref="T4:T29" si="1">AVERAGE(M4:S4)</f>
        <v>#DIV/0!</v>
      </c>
      <c r="U4" s="15" t="e">
        <f t="shared" ref="U4:U29" si="2">RANK(T4,$T$3:$T$29,0)</f>
        <v>#DIV/0!</v>
      </c>
      <c r="V4" s="15"/>
      <c r="W4" s="15"/>
      <c r="X4" s="15"/>
      <c r="Y4" s="15"/>
      <c r="Z4" s="15"/>
      <c r="AA4" s="16"/>
    </row>
    <row r="5" spans="1:27" ht="18" customHeight="1">
      <c r="A5" s="147">
        <v>3</v>
      </c>
      <c r="B5" s="135" t="str">
        <f>VLOOKUP(A5,緊急聯絡!A$2:C$27,3,0)</f>
        <v>林昱任</v>
      </c>
      <c r="C5" s="14">
        <v>96</v>
      </c>
      <c r="D5" s="14">
        <v>100</v>
      </c>
      <c r="E5" s="14">
        <v>96</v>
      </c>
      <c r="F5" s="307">
        <v>95</v>
      </c>
      <c r="G5" s="307">
        <v>95</v>
      </c>
      <c r="H5" s="135">
        <v>96</v>
      </c>
      <c r="I5" s="307">
        <v>97</v>
      </c>
      <c r="J5" s="135">
        <v>95</v>
      </c>
      <c r="K5" s="14">
        <f>AVERAGE(C5:J5)</f>
        <v>96.25</v>
      </c>
      <c r="L5" s="580">
        <f t="shared" si="0"/>
        <v>4</v>
      </c>
      <c r="M5" s="14"/>
      <c r="N5" s="14"/>
      <c r="O5" s="14"/>
      <c r="P5" s="14"/>
      <c r="Q5" s="15"/>
      <c r="R5" s="15"/>
      <c r="S5" s="15"/>
      <c r="T5" s="15" t="e">
        <f t="shared" si="1"/>
        <v>#DIV/0!</v>
      </c>
      <c r="U5" s="15" t="e">
        <f t="shared" si="2"/>
        <v>#DIV/0!</v>
      </c>
      <c r="V5" s="15"/>
      <c r="W5" s="15"/>
      <c r="X5" s="15"/>
      <c r="Y5" s="15"/>
      <c r="Z5" s="15"/>
      <c r="AA5" s="16"/>
    </row>
    <row r="6" spans="1:27" ht="18" customHeight="1">
      <c r="A6" s="147">
        <v>4</v>
      </c>
      <c r="B6" s="135" t="str">
        <f>VLOOKUP(A6,緊急聯絡!A$2:C$27,3,0)</f>
        <v>李奎煜</v>
      </c>
      <c r="C6" s="14">
        <v>80</v>
      </c>
      <c r="D6" s="14">
        <v>0</v>
      </c>
      <c r="E6" s="14">
        <v>0</v>
      </c>
      <c r="F6" s="307">
        <v>0</v>
      </c>
      <c r="G6" s="307">
        <v>0</v>
      </c>
      <c r="H6" s="135">
        <v>98</v>
      </c>
      <c r="I6" s="307">
        <v>96</v>
      </c>
      <c r="J6" s="135">
        <v>0</v>
      </c>
      <c r="K6" s="14">
        <f>AVERAGE(C6:J6)</f>
        <v>34.25</v>
      </c>
      <c r="L6" s="578">
        <f t="shared" si="0"/>
        <v>24</v>
      </c>
      <c r="M6" s="14"/>
      <c r="N6" s="14"/>
      <c r="O6" s="14"/>
      <c r="P6" s="14"/>
      <c r="Q6" s="15"/>
      <c r="R6" s="15"/>
      <c r="S6" s="15"/>
      <c r="T6" s="15" t="e">
        <f t="shared" si="1"/>
        <v>#DIV/0!</v>
      </c>
      <c r="U6" s="15" t="e">
        <f t="shared" si="2"/>
        <v>#DIV/0!</v>
      </c>
      <c r="V6" s="15"/>
      <c r="W6" s="15"/>
      <c r="X6" s="15"/>
      <c r="Y6" s="15"/>
      <c r="Z6" s="15"/>
      <c r="AA6" s="16"/>
    </row>
    <row r="7" spans="1:27" ht="18" customHeight="1">
      <c r="A7" s="147">
        <v>5</v>
      </c>
      <c r="B7" s="135" t="str">
        <f>VLOOKUP(A7,緊急聯絡!A$2:C$27,3,0)</f>
        <v>葉翃均</v>
      </c>
      <c r="C7" s="14">
        <v>80</v>
      </c>
      <c r="D7" s="14">
        <v>0</v>
      </c>
      <c r="E7" s="14">
        <v>95</v>
      </c>
      <c r="F7" s="307">
        <v>95</v>
      </c>
      <c r="G7" s="307">
        <v>95</v>
      </c>
      <c r="H7" s="135">
        <v>93</v>
      </c>
      <c r="I7" s="307">
        <v>92</v>
      </c>
      <c r="J7" s="135">
        <v>80</v>
      </c>
      <c r="K7" s="14">
        <f>AVERAGE(C7:J7)</f>
        <v>78.75</v>
      </c>
      <c r="L7" s="578">
        <f t="shared" si="0"/>
        <v>19</v>
      </c>
      <c r="M7" s="14"/>
      <c r="N7" s="14"/>
      <c r="O7" s="14"/>
      <c r="P7" s="14"/>
      <c r="Q7" s="15"/>
      <c r="R7" s="15"/>
      <c r="S7" s="15"/>
      <c r="T7" s="15" t="e">
        <f t="shared" si="1"/>
        <v>#DIV/0!</v>
      </c>
      <c r="U7" s="15" t="e">
        <f t="shared" si="2"/>
        <v>#DIV/0!</v>
      </c>
      <c r="V7" s="15"/>
      <c r="W7" s="15"/>
      <c r="X7" s="15"/>
      <c r="Y7" s="15"/>
      <c r="Z7" s="15"/>
      <c r="AA7" s="16"/>
    </row>
    <row r="8" spans="1:27" ht="18" customHeight="1">
      <c r="A8" s="147">
        <v>6</v>
      </c>
      <c r="B8" s="135" t="str">
        <f>VLOOKUP(A8,緊急聯絡!A$2:C$27,3,0)</f>
        <v>王奕勳</v>
      </c>
      <c r="C8" s="14">
        <v>92</v>
      </c>
      <c r="D8" s="14">
        <v>90</v>
      </c>
      <c r="E8" s="14">
        <v>92</v>
      </c>
      <c r="F8" s="307">
        <v>92</v>
      </c>
      <c r="G8" s="307">
        <v>92</v>
      </c>
      <c r="H8" s="135">
        <v>96</v>
      </c>
      <c r="I8" s="307">
        <v>97</v>
      </c>
      <c r="J8" s="135">
        <v>85</v>
      </c>
      <c r="K8" s="14">
        <f>AVERAGE(C8:J8)</f>
        <v>92</v>
      </c>
      <c r="L8" s="578">
        <f t="shared" si="0"/>
        <v>14</v>
      </c>
      <c r="M8" s="14"/>
      <c r="N8" s="14"/>
      <c r="O8" s="14"/>
      <c r="P8" s="14"/>
      <c r="Q8" s="15"/>
      <c r="R8" s="15"/>
      <c r="S8" s="15"/>
      <c r="T8" s="15" t="e">
        <f t="shared" si="1"/>
        <v>#DIV/0!</v>
      </c>
      <c r="U8" s="15" t="e">
        <f t="shared" si="2"/>
        <v>#DIV/0!</v>
      </c>
      <c r="V8" s="15"/>
      <c r="W8" s="15"/>
      <c r="X8" s="15"/>
      <c r="Y8" s="15"/>
      <c r="Z8" s="15"/>
      <c r="AA8" s="16"/>
    </row>
    <row r="9" spans="1:27" ht="18" customHeight="1">
      <c r="A9" s="147">
        <v>7</v>
      </c>
      <c r="B9" s="135" t="str">
        <f>VLOOKUP(A9,緊急聯絡!A$2:C$27,3,0)</f>
        <v>葉彥均</v>
      </c>
      <c r="C9" s="14">
        <v>90</v>
      </c>
      <c r="D9" s="14">
        <v>100</v>
      </c>
      <c r="E9" s="14">
        <v>90</v>
      </c>
      <c r="F9" s="307">
        <v>90</v>
      </c>
      <c r="G9" s="307">
        <v>95</v>
      </c>
      <c r="H9" s="135">
        <v>90</v>
      </c>
      <c r="I9" s="307">
        <v>93</v>
      </c>
      <c r="J9" s="135">
        <v>92</v>
      </c>
      <c r="K9" s="14">
        <f>AVERAGE(C9:J9)</f>
        <v>92.5</v>
      </c>
      <c r="L9" s="578">
        <f t="shared" si="0"/>
        <v>13</v>
      </c>
      <c r="M9" s="14"/>
      <c r="N9" s="14"/>
      <c r="O9" s="14"/>
      <c r="P9" s="14"/>
      <c r="Q9" s="15"/>
      <c r="R9" s="15"/>
      <c r="S9" s="15"/>
      <c r="T9" s="15" t="e">
        <f t="shared" si="1"/>
        <v>#DIV/0!</v>
      </c>
      <c r="U9" s="15" t="e">
        <f t="shared" si="2"/>
        <v>#DIV/0!</v>
      </c>
      <c r="V9" s="15"/>
      <c r="W9" s="15"/>
      <c r="X9" s="15"/>
      <c r="Y9" s="15"/>
      <c r="Z9" s="15"/>
      <c r="AA9" s="16"/>
    </row>
    <row r="10" spans="1:27" ht="18" customHeight="1">
      <c r="A10" s="147">
        <v>8</v>
      </c>
      <c r="B10" s="135" t="str">
        <f>VLOOKUP(A10,緊急聯絡!A$2:C$27,3,0)</f>
        <v>洪楷珅</v>
      </c>
      <c r="C10" s="14">
        <v>90</v>
      </c>
      <c r="D10" s="14">
        <v>100</v>
      </c>
      <c r="E10" s="14">
        <v>98</v>
      </c>
      <c r="F10" s="307">
        <v>88</v>
      </c>
      <c r="G10" s="307">
        <v>88</v>
      </c>
      <c r="H10" s="135">
        <v>0</v>
      </c>
      <c r="I10" s="307">
        <v>95</v>
      </c>
      <c r="J10" s="135">
        <v>80</v>
      </c>
      <c r="K10" s="14">
        <f>AVERAGE(C10:J10)</f>
        <v>79.875</v>
      </c>
      <c r="L10" s="578">
        <f t="shared" si="0"/>
        <v>18</v>
      </c>
      <c r="M10" s="14"/>
      <c r="N10" s="14"/>
      <c r="O10" s="14"/>
      <c r="P10" s="14"/>
      <c r="Q10" s="15"/>
      <c r="R10" s="15"/>
      <c r="S10" s="15"/>
      <c r="T10" s="15" t="e">
        <f t="shared" si="1"/>
        <v>#DIV/0!</v>
      </c>
      <c r="U10" s="15" t="e">
        <f t="shared" si="2"/>
        <v>#DIV/0!</v>
      </c>
      <c r="V10" s="15"/>
      <c r="W10" s="15"/>
      <c r="X10" s="15"/>
      <c r="Y10" s="15"/>
      <c r="Z10" s="15"/>
      <c r="AA10" s="16"/>
    </row>
    <row r="11" spans="1:27" ht="18" customHeight="1">
      <c r="A11" s="147">
        <v>9</v>
      </c>
      <c r="B11" s="135" t="str">
        <f>VLOOKUP(A11,緊急聯絡!A$2:C$27,3,0)</f>
        <v>吳承哲</v>
      </c>
      <c r="C11" s="14">
        <v>0</v>
      </c>
      <c r="D11" s="14">
        <v>0</v>
      </c>
      <c r="E11" s="14">
        <v>0</v>
      </c>
      <c r="F11" s="307">
        <v>0</v>
      </c>
      <c r="G11" s="307">
        <v>0</v>
      </c>
      <c r="H11" s="135">
        <v>0</v>
      </c>
      <c r="I11" s="307">
        <v>0</v>
      </c>
      <c r="J11" s="135">
        <v>0</v>
      </c>
      <c r="K11" s="14">
        <f>AVERAGE(C11:J11)</f>
        <v>0</v>
      </c>
      <c r="L11" s="578">
        <f t="shared" si="0"/>
        <v>26</v>
      </c>
      <c r="M11" s="14"/>
      <c r="N11" s="14"/>
      <c r="O11" s="14"/>
      <c r="P11" s="14"/>
      <c r="Q11" s="15"/>
      <c r="R11" s="15"/>
      <c r="S11" s="15"/>
      <c r="T11" s="15" t="e">
        <f t="shared" si="1"/>
        <v>#DIV/0!</v>
      </c>
      <c r="U11" s="15" t="e">
        <f t="shared" si="2"/>
        <v>#DIV/0!</v>
      </c>
      <c r="V11" s="15"/>
      <c r="W11" s="15"/>
      <c r="X11" s="15"/>
      <c r="Y11" s="15"/>
      <c r="Z11" s="15"/>
      <c r="AA11" s="16"/>
    </row>
    <row r="12" spans="1:27" ht="18" customHeight="1">
      <c r="A12" s="147">
        <v>10</v>
      </c>
      <c r="B12" s="135" t="str">
        <f>VLOOKUP(A12,緊急聯絡!A$2:C$27,3,0)</f>
        <v>李宥霆</v>
      </c>
      <c r="C12" s="14">
        <v>88</v>
      </c>
      <c r="D12" s="14">
        <v>100</v>
      </c>
      <c r="E12" s="14">
        <v>92</v>
      </c>
      <c r="F12" s="307">
        <v>92</v>
      </c>
      <c r="G12" s="307">
        <v>92</v>
      </c>
      <c r="H12" s="135">
        <v>95</v>
      </c>
      <c r="I12" s="307">
        <v>90</v>
      </c>
      <c r="J12" s="135">
        <v>92</v>
      </c>
      <c r="K12" s="14">
        <f>AVERAGE(C12:J12)</f>
        <v>92.625</v>
      </c>
      <c r="L12" s="578">
        <f t="shared" si="0"/>
        <v>12</v>
      </c>
      <c r="M12" s="14"/>
      <c r="N12" s="14"/>
      <c r="O12" s="14"/>
      <c r="P12" s="14"/>
      <c r="Q12" s="15"/>
      <c r="R12" s="15"/>
      <c r="S12" s="15"/>
      <c r="T12" s="15" t="e">
        <f t="shared" si="1"/>
        <v>#DIV/0!</v>
      </c>
      <c r="U12" s="15" t="e">
        <f t="shared" si="2"/>
        <v>#DIV/0!</v>
      </c>
      <c r="V12" s="15"/>
      <c r="W12" s="15"/>
      <c r="X12" s="15"/>
      <c r="Y12" s="15"/>
      <c r="Z12" s="15"/>
      <c r="AA12" s="16"/>
    </row>
    <row r="13" spans="1:27" ht="18" customHeight="1">
      <c r="A13" s="147">
        <v>11</v>
      </c>
      <c r="B13" s="135" t="str">
        <f>VLOOKUP(A13,緊急聯絡!A$2:C$27,3,0)</f>
        <v>柯皓哲</v>
      </c>
      <c r="C13" s="14">
        <v>88</v>
      </c>
      <c r="D13" s="14">
        <v>0</v>
      </c>
      <c r="E13" s="14">
        <v>92</v>
      </c>
      <c r="F13" s="307">
        <v>92</v>
      </c>
      <c r="G13" s="307">
        <v>92</v>
      </c>
      <c r="H13" s="135">
        <v>95</v>
      </c>
      <c r="I13" s="307">
        <v>93</v>
      </c>
      <c r="J13" s="135">
        <v>60</v>
      </c>
      <c r="K13" s="14">
        <f>AVERAGE(C13:J13)</f>
        <v>76.5</v>
      </c>
      <c r="L13" s="578">
        <f t="shared" si="0"/>
        <v>20</v>
      </c>
      <c r="M13" s="14"/>
      <c r="N13" s="14"/>
      <c r="O13" s="14"/>
      <c r="P13" s="14"/>
      <c r="Q13" s="15"/>
      <c r="R13" s="15"/>
      <c r="S13" s="15"/>
      <c r="T13" s="15" t="e">
        <f t="shared" si="1"/>
        <v>#DIV/0!</v>
      </c>
      <c r="U13" s="15" t="e">
        <f t="shared" si="2"/>
        <v>#DIV/0!</v>
      </c>
      <c r="V13" s="15"/>
      <c r="W13" s="15"/>
      <c r="X13" s="15"/>
      <c r="Y13" s="15"/>
      <c r="Z13" s="15"/>
      <c r="AA13" s="16"/>
    </row>
    <row r="14" spans="1:27" ht="18" customHeight="1">
      <c r="A14" s="147">
        <v>12</v>
      </c>
      <c r="B14" s="135" t="str">
        <f>VLOOKUP(A14,緊急聯絡!A$2:C$27,3,0)</f>
        <v>魏宇謙</v>
      </c>
      <c r="C14" s="14">
        <v>88</v>
      </c>
      <c r="D14" s="14">
        <v>100</v>
      </c>
      <c r="E14" s="14">
        <v>88</v>
      </c>
      <c r="F14" s="307">
        <v>88</v>
      </c>
      <c r="G14" s="307">
        <v>95</v>
      </c>
      <c r="H14" s="135">
        <v>96</v>
      </c>
      <c r="I14" s="307">
        <v>93</v>
      </c>
      <c r="J14" s="135">
        <v>86</v>
      </c>
      <c r="K14" s="14">
        <f>AVERAGE(C14:J14)</f>
        <v>91.75</v>
      </c>
      <c r="L14" s="578">
        <f t="shared" si="0"/>
        <v>15</v>
      </c>
      <c r="M14" s="14"/>
      <c r="N14" s="14"/>
      <c r="O14" s="14"/>
      <c r="P14" s="14"/>
      <c r="Q14" s="15"/>
      <c r="R14" s="15"/>
      <c r="S14" s="15"/>
      <c r="T14" s="15" t="e">
        <f t="shared" si="1"/>
        <v>#DIV/0!</v>
      </c>
      <c r="U14" s="15" t="e">
        <f t="shared" si="2"/>
        <v>#DIV/0!</v>
      </c>
      <c r="V14" s="15"/>
      <c r="W14" s="15"/>
      <c r="X14" s="15"/>
      <c r="Y14" s="15"/>
      <c r="Z14" s="15"/>
      <c r="AA14" s="16"/>
    </row>
    <row r="15" spans="1:27" ht="18" customHeight="1">
      <c r="A15" s="147">
        <v>13</v>
      </c>
      <c r="B15" s="135" t="str">
        <f>VLOOKUP(A15,緊急聯絡!A$2:C$27,3,0)</f>
        <v>林季曄</v>
      </c>
      <c r="C15" s="14">
        <v>85</v>
      </c>
      <c r="D15" s="14">
        <v>0</v>
      </c>
      <c r="E15" s="14">
        <v>88</v>
      </c>
      <c r="F15" s="307">
        <v>92</v>
      </c>
      <c r="G15" s="307">
        <v>95</v>
      </c>
      <c r="H15" s="135">
        <v>95</v>
      </c>
      <c r="I15" s="307">
        <v>95</v>
      </c>
      <c r="J15" s="135">
        <v>60</v>
      </c>
      <c r="K15" s="14">
        <f>AVERAGE(C15:J15)</f>
        <v>76.25</v>
      </c>
      <c r="L15" s="578">
        <f t="shared" si="0"/>
        <v>21</v>
      </c>
      <c r="M15" s="14"/>
      <c r="N15" s="14"/>
      <c r="O15" s="14"/>
      <c r="P15" s="14"/>
      <c r="Q15" s="15"/>
      <c r="R15" s="15"/>
      <c r="S15" s="15"/>
      <c r="T15" s="15" t="e">
        <f t="shared" si="1"/>
        <v>#DIV/0!</v>
      </c>
      <c r="U15" s="15" t="e">
        <f t="shared" si="2"/>
        <v>#DIV/0!</v>
      </c>
      <c r="V15" s="15"/>
      <c r="W15" s="15"/>
      <c r="X15" s="15"/>
      <c r="Y15" s="15"/>
      <c r="Z15" s="15"/>
      <c r="AA15" s="16"/>
    </row>
    <row r="16" spans="1:27" ht="18" customHeight="1">
      <c r="A16" s="147">
        <v>14</v>
      </c>
      <c r="B16" s="135" t="str">
        <f>VLOOKUP(A16,緊急聯絡!A$2:C$27,3,0)</f>
        <v>高翊庭</v>
      </c>
      <c r="C16" s="14">
        <v>92</v>
      </c>
      <c r="D16" s="14">
        <v>90</v>
      </c>
      <c r="E16" s="14">
        <v>98</v>
      </c>
      <c r="F16" s="307">
        <v>92</v>
      </c>
      <c r="G16" s="307">
        <v>95</v>
      </c>
      <c r="H16" s="135">
        <v>95</v>
      </c>
      <c r="I16" s="307">
        <v>96</v>
      </c>
      <c r="J16" s="135">
        <v>98</v>
      </c>
      <c r="K16" s="14">
        <f>AVERAGE(C16:J16)</f>
        <v>94.5</v>
      </c>
      <c r="L16" s="578">
        <f t="shared" si="0"/>
        <v>10</v>
      </c>
      <c r="M16" s="14"/>
      <c r="N16" s="14"/>
      <c r="O16" s="14"/>
      <c r="P16" s="14"/>
      <c r="Q16" s="15"/>
      <c r="R16" s="15"/>
      <c r="S16" s="15"/>
      <c r="T16" s="15" t="e">
        <f t="shared" si="1"/>
        <v>#DIV/0!</v>
      </c>
      <c r="U16" s="15" t="e">
        <f t="shared" si="2"/>
        <v>#DIV/0!</v>
      </c>
      <c r="V16" s="15"/>
      <c r="W16" s="15"/>
      <c r="X16" s="15"/>
      <c r="Y16" s="15"/>
      <c r="Z16" s="15"/>
      <c r="AA16" s="16"/>
    </row>
    <row r="17" spans="1:27" ht="18" customHeight="1">
      <c r="A17" s="147">
        <v>15</v>
      </c>
      <c r="B17" s="135" t="str">
        <f>VLOOKUP(A17,緊急聯絡!A$2:C$27,3,0)</f>
        <v>藍彩華</v>
      </c>
      <c r="C17" s="14">
        <v>98</v>
      </c>
      <c r="D17" s="14">
        <v>100</v>
      </c>
      <c r="E17" s="14">
        <v>100</v>
      </c>
      <c r="F17" s="307">
        <v>100</v>
      </c>
      <c r="G17" s="307">
        <v>100</v>
      </c>
      <c r="H17" s="135">
        <v>95</v>
      </c>
      <c r="I17" s="307">
        <v>98</v>
      </c>
      <c r="J17" s="135">
        <v>95</v>
      </c>
      <c r="K17" s="14">
        <f>AVERAGE(C17:J17)</f>
        <v>98.25</v>
      </c>
      <c r="L17" s="579">
        <f t="shared" si="0"/>
        <v>1</v>
      </c>
      <c r="M17" s="14"/>
      <c r="N17" s="14"/>
      <c r="O17" s="14"/>
      <c r="P17" s="14"/>
      <c r="Q17" s="15"/>
      <c r="R17" s="15"/>
      <c r="S17" s="15"/>
      <c r="T17" s="15" t="e">
        <f t="shared" si="1"/>
        <v>#DIV/0!</v>
      </c>
      <c r="U17" s="15" t="e">
        <f t="shared" si="2"/>
        <v>#DIV/0!</v>
      </c>
      <c r="V17" s="15"/>
      <c r="W17" s="15"/>
      <c r="X17" s="15"/>
      <c r="Y17" s="15"/>
      <c r="Z17" s="15"/>
      <c r="AA17" s="16"/>
    </row>
    <row r="18" spans="1:27" ht="18" customHeight="1">
      <c r="A18" s="147">
        <v>16</v>
      </c>
      <c r="B18" s="135" t="str">
        <f>VLOOKUP(A18,緊急聯絡!A$2:C$27,3,0)</f>
        <v>曾琛晞</v>
      </c>
      <c r="C18" s="14">
        <v>92</v>
      </c>
      <c r="D18" s="14">
        <v>0</v>
      </c>
      <c r="E18" s="14">
        <v>95</v>
      </c>
      <c r="F18" s="307">
        <v>95</v>
      </c>
      <c r="G18" s="307">
        <v>92</v>
      </c>
      <c r="H18" s="135">
        <v>93</v>
      </c>
      <c r="I18" s="307">
        <v>95</v>
      </c>
      <c r="J18" s="135">
        <v>95</v>
      </c>
      <c r="K18" s="14">
        <f>AVERAGE(C18:J18)</f>
        <v>82.125</v>
      </c>
      <c r="L18" s="578">
        <f t="shared" si="0"/>
        <v>17</v>
      </c>
      <c r="M18" s="14"/>
      <c r="N18" s="14"/>
      <c r="O18" s="14"/>
      <c r="P18" s="14"/>
      <c r="Q18" s="15"/>
      <c r="R18" s="15"/>
      <c r="S18" s="15"/>
      <c r="T18" s="15" t="e">
        <f t="shared" si="1"/>
        <v>#DIV/0!</v>
      </c>
      <c r="U18" s="15" t="e">
        <f t="shared" si="2"/>
        <v>#DIV/0!</v>
      </c>
      <c r="V18" s="15"/>
      <c r="W18" s="15"/>
      <c r="X18" s="15"/>
      <c r="Y18" s="15"/>
      <c r="Z18" s="15"/>
      <c r="AA18" s="16"/>
    </row>
    <row r="19" spans="1:27" ht="18" customHeight="1">
      <c r="A19" s="147">
        <v>17</v>
      </c>
      <c r="B19" s="135" t="str">
        <f>VLOOKUP(A19,緊急聯絡!A$2:C$27,3,0)</f>
        <v>張智函</v>
      </c>
      <c r="C19" s="14">
        <v>93</v>
      </c>
      <c r="D19" s="14">
        <v>100</v>
      </c>
      <c r="E19" s="14">
        <v>98</v>
      </c>
      <c r="F19" s="307">
        <v>98</v>
      </c>
      <c r="G19" s="307">
        <v>95</v>
      </c>
      <c r="H19" s="135">
        <v>95</v>
      </c>
      <c r="I19" s="307">
        <v>94</v>
      </c>
      <c r="J19" s="135">
        <v>94</v>
      </c>
      <c r="K19" s="14">
        <f>AVERAGE(C19:J19)</f>
        <v>95.875</v>
      </c>
      <c r="L19" s="190">
        <f t="shared" si="0"/>
        <v>5</v>
      </c>
      <c r="M19" s="14"/>
      <c r="N19" s="14"/>
      <c r="O19" s="14"/>
      <c r="P19" s="14"/>
      <c r="Q19" s="15"/>
      <c r="R19" s="15"/>
      <c r="S19" s="15"/>
      <c r="T19" s="15" t="e">
        <f t="shared" si="1"/>
        <v>#DIV/0!</v>
      </c>
      <c r="U19" s="15" t="e">
        <f t="shared" si="2"/>
        <v>#DIV/0!</v>
      </c>
      <c r="V19" s="15"/>
      <c r="W19" s="15"/>
      <c r="X19" s="15"/>
      <c r="Y19" s="15"/>
      <c r="Z19" s="15"/>
      <c r="AA19" s="16"/>
    </row>
    <row r="20" spans="1:27" ht="18" customHeight="1">
      <c r="A20" s="147">
        <v>18</v>
      </c>
      <c r="B20" s="135" t="str">
        <f>VLOOKUP(A20,緊急聯絡!A$2:C$27,3,0)</f>
        <v>許凌菲</v>
      </c>
      <c r="C20" s="14">
        <v>90</v>
      </c>
      <c r="D20" s="14">
        <v>0</v>
      </c>
      <c r="E20" s="14">
        <v>95</v>
      </c>
      <c r="F20" s="307">
        <v>95</v>
      </c>
      <c r="G20" s="307">
        <v>95</v>
      </c>
      <c r="H20" s="135">
        <v>0</v>
      </c>
      <c r="I20" s="307">
        <v>90</v>
      </c>
      <c r="J20" s="135">
        <v>85</v>
      </c>
      <c r="K20" s="14">
        <f>AVERAGE(C20:J20)</f>
        <v>68.75</v>
      </c>
      <c r="L20" s="578">
        <f t="shared" si="0"/>
        <v>22</v>
      </c>
      <c r="M20" s="14"/>
      <c r="N20" s="14"/>
      <c r="O20" s="14"/>
      <c r="P20" s="14"/>
      <c r="Q20" s="15"/>
      <c r="R20" s="15"/>
      <c r="S20" s="15"/>
      <c r="T20" s="15" t="e">
        <f t="shared" si="1"/>
        <v>#DIV/0!</v>
      </c>
      <c r="U20" s="15" t="e">
        <f t="shared" si="2"/>
        <v>#DIV/0!</v>
      </c>
      <c r="V20" s="15"/>
      <c r="W20" s="15"/>
      <c r="X20" s="15"/>
      <c r="Y20" s="15"/>
      <c r="Z20" s="15"/>
      <c r="AA20" s="16"/>
    </row>
    <row r="21" spans="1:27" ht="18" customHeight="1">
      <c r="A21" s="147">
        <v>19</v>
      </c>
      <c r="B21" s="135" t="str">
        <f>VLOOKUP(A21,緊急聯絡!A$2:C$27,3,0)</f>
        <v>吳羽棠</v>
      </c>
      <c r="C21" s="14">
        <v>97</v>
      </c>
      <c r="D21" s="14">
        <v>100</v>
      </c>
      <c r="E21" s="14">
        <v>100</v>
      </c>
      <c r="F21" s="307">
        <v>100</v>
      </c>
      <c r="G21" s="307">
        <v>100</v>
      </c>
      <c r="H21" s="135">
        <v>97</v>
      </c>
      <c r="I21" s="307">
        <v>96</v>
      </c>
      <c r="J21" s="135">
        <v>94</v>
      </c>
      <c r="K21" s="14">
        <f>AVERAGE(C21:J21)</f>
        <v>98</v>
      </c>
      <c r="L21" s="579">
        <f t="shared" si="0"/>
        <v>2</v>
      </c>
      <c r="M21" s="14"/>
      <c r="N21" s="14"/>
      <c r="O21" s="14"/>
      <c r="P21" s="14"/>
      <c r="Q21" s="15"/>
      <c r="R21" s="15"/>
      <c r="S21" s="15"/>
      <c r="T21" s="15" t="e">
        <f t="shared" si="1"/>
        <v>#DIV/0!</v>
      </c>
      <c r="U21" s="15" t="e">
        <f t="shared" si="2"/>
        <v>#DIV/0!</v>
      </c>
      <c r="V21" s="15"/>
      <c r="W21" s="15"/>
      <c r="X21" s="15"/>
      <c r="Y21" s="15"/>
      <c r="Z21" s="15"/>
      <c r="AA21" s="16"/>
    </row>
    <row r="22" spans="1:27" ht="18" customHeight="1">
      <c r="A22" s="147">
        <v>20</v>
      </c>
      <c r="B22" s="135" t="str">
        <f>VLOOKUP(A22,緊急聯絡!A$2:C$27,3,0)</f>
        <v>蔡羽媗</v>
      </c>
      <c r="C22" s="14">
        <v>97</v>
      </c>
      <c r="D22" s="14">
        <v>0</v>
      </c>
      <c r="E22" s="14">
        <v>100</v>
      </c>
      <c r="F22" s="307">
        <v>0</v>
      </c>
      <c r="G22" s="307">
        <v>0</v>
      </c>
      <c r="H22" s="135">
        <v>95</v>
      </c>
      <c r="I22" s="307">
        <v>95</v>
      </c>
      <c r="J22" s="135">
        <v>95</v>
      </c>
      <c r="K22" s="14">
        <f>AVERAGE(C22:J22)</f>
        <v>60.25</v>
      </c>
      <c r="L22" s="578">
        <f t="shared" si="0"/>
        <v>23</v>
      </c>
      <c r="M22" s="14"/>
      <c r="N22" s="14"/>
      <c r="O22" s="14"/>
      <c r="P22" s="14"/>
      <c r="Q22" s="15"/>
      <c r="R22" s="15"/>
      <c r="S22" s="15"/>
      <c r="T22" s="15" t="e">
        <f t="shared" si="1"/>
        <v>#DIV/0!</v>
      </c>
      <c r="U22" s="15" t="e">
        <f t="shared" si="2"/>
        <v>#DIV/0!</v>
      </c>
      <c r="V22" s="15"/>
      <c r="W22" s="15"/>
      <c r="X22" s="15"/>
      <c r="Y22" s="15"/>
      <c r="Z22" s="15"/>
      <c r="AA22" s="16"/>
    </row>
    <row r="23" spans="1:27" ht="18" customHeight="1">
      <c r="A23" s="147">
        <v>21</v>
      </c>
      <c r="B23" s="135" t="str">
        <f>VLOOKUP(A23,緊急聯絡!A$2:C$27,3,0)</f>
        <v>楊筱歆</v>
      </c>
      <c r="C23" s="14">
        <v>80</v>
      </c>
      <c r="D23" s="14">
        <v>0</v>
      </c>
      <c r="E23" s="14">
        <v>0</v>
      </c>
      <c r="F23" s="307">
        <v>0</v>
      </c>
      <c r="G23" s="307">
        <v>0</v>
      </c>
      <c r="H23" s="135">
        <v>0</v>
      </c>
      <c r="I23" s="307">
        <v>0</v>
      </c>
      <c r="J23" s="135">
        <v>0</v>
      </c>
      <c r="K23" s="14">
        <f>AVERAGE(C23:J23)</f>
        <v>10</v>
      </c>
      <c r="L23" s="578">
        <f t="shared" si="0"/>
        <v>25</v>
      </c>
      <c r="M23" s="14"/>
      <c r="N23" s="14"/>
      <c r="O23" s="14"/>
      <c r="P23" s="14"/>
      <c r="Q23" s="15"/>
      <c r="R23" s="15"/>
      <c r="S23" s="15"/>
      <c r="T23" s="15" t="e">
        <f t="shared" si="1"/>
        <v>#DIV/0!</v>
      </c>
      <c r="U23" s="15" t="e">
        <f t="shared" si="2"/>
        <v>#DIV/0!</v>
      </c>
      <c r="V23" s="15"/>
      <c r="W23" s="15"/>
      <c r="X23" s="15"/>
      <c r="Y23" s="15"/>
      <c r="Z23" s="15"/>
      <c r="AA23" s="16"/>
    </row>
    <row r="24" spans="1:27" ht="18" customHeight="1">
      <c r="A24" s="147">
        <v>22</v>
      </c>
      <c r="B24" s="135" t="str">
        <f>VLOOKUP(A24,緊急聯絡!A$2:C$27,3,0)</f>
        <v>邱詩涵</v>
      </c>
      <c r="C24" s="14">
        <v>95</v>
      </c>
      <c r="D24" s="14">
        <v>100</v>
      </c>
      <c r="E24" s="14">
        <v>100</v>
      </c>
      <c r="F24" s="307">
        <v>95</v>
      </c>
      <c r="G24" s="307">
        <v>95</v>
      </c>
      <c r="H24" s="135">
        <v>95</v>
      </c>
      <c r="I24" s="307">
        <v>93</v>
      </c>
      <c r="J24" s="135">
        <v>94</v>
      </c>
      <c r="K24" s="14">
        <f>AVERAGE(C24:J24)</f>
        <v>95.875</v>
      </c>
      <c r="L24" s="190">
        <f t="shared" si="0"/>
        <v>5</v>
      </c>
      <c r="M24" s="14"/>
      <c r="N24" s="14"/>
      <c r="O24" s="14"/>
      <c r="P24" s="14"/>
      <c r="Q24" s="15"/>
      <c r="R24" s="15"/>
      <c r="S24" s="15"/>
      <c r="T24" s="15" t="e">
        <f t="shared" si="1"/>
        <v>#DIV/0!</v>
      </c>
      <c r="U24" s="15" t="e">
        <f t="shared" si="2"/>
        <v>#DIV/0!</v>
      </c>
      <c r="V24" s="15"/>
      <c r="W24" s="15"/>
      <c r="X24" s="15"/>
      <c r="Y24" s="15"/>
      <c r="Z24" s="15"/>
      <c r="AA24" s="16"/>
    </row>
    <row r="25" spans="1:27" ht="18" customHeight="1">
      <c r="A25" s="147">
        <v>23</v>
      </c>
      <c r="B25" s="135" t="str">
        <f>VLOOKUP(A25,緊急聯絡!A$2:C$27,3,0)</f>
        <v>張涵甯</v>
      </c>
      <c r="C25" s="14">
        <v>88</v>
      </c>
      <c r="D25" s="14">
        <v>90</v>
      </c>
      <c r="E25" s="14">
        <v>90</v>
      </c>
      <c r="F25" s="307"/>
      <c r="G25" s="307"/>
      <c r="H25" s="135">
        <v>95</v>
      </c>
      <c r="I25" s="307">
        <v>94</v>
      </c>
      <c r="J25" s="135">
        <v>90</v>
      </c>
      <c r="K25" s="14">
        <f>AVERAGE(C25:J25)</f>
        <v>91.166666666666671</v>
      </c>
      <c r="L25" s="578">
        <f t="shared" si="0"/>
        <v>16</v>
      </c>
      <c r="M25" s="14"/>
      <c r="N25" s="14"/>
      <c r="O25" s="14"/>
      <c r="P25" s="14"/>
      <c r="Q25" s="15"/>
      <c r="R25" s="15"/>
      <c r="S25" s="15"/>
      <c r="T25" s="15" t="e">
        <f t="shared" si="1"/>
        <v>#DIV/0!</v>
      </c>
      <c r="U25" s="15" t="e">
        <f t="shared" si="2"/>
        <v>#DIV/0!</v>
      </c>
      <c r="V25" s="15"/>
      <c r="W25" s="15"/>
      <c r="X25" s="15"/>
      <c r="Y25" s="15"/>
      <c r="Z25" s="15"/>
      <c r="AA25" s="16"/>
    </row>
    <row r="26" spans="1:27" ht="18" customHeight="1">
      <c r="A26" s="147">
        <v>24</v>
      </c>
      <c r="B26" s="135" t="str">
        <f>VLOOKUP(A26,緊急聯絡!A$2:C$27,3,0)</f>
        <v>王姿涵</v>
      </c>
      <c r="C26" s="14">
        <v>90</v>
      </c>
      <c r="D26" s="14">
        <v>100</v>
      </c>
      <c r="E26" s="14">
        <v>100</v>
      </c>
      <c r="F26" s="307">
        <v>100</v>
      </c>
      <c r="G26" s="307">
        <v>98</v>
      </c>
      <c r="H26" s="135">
        <v>96</v>
      </c>
      <c r="I26" s="307">
        <v>95</v>
      </c>
      <c r="J26" s="135">
        <v>92</v>
      </c>
      <c r="K26" s="14">
        <f>AVERAGE(C26:J26)</f>
        <v>96.375</v>
      </c>
      <c r="L26" s="580">
        <f t="shared" si="0"/>
        <v>3</v>
      </c>
      <c r="M26" s="14"/>
      <c r="N26" s="14"/>
      <c r="O26" s="14"/>
      <c r="P26" s="14"/>
      <c r="Q26" s="15"/>
      <c r="R26" s="15"/>
      <c r="S26" s="15"/>
      <c r="T26" s="15" t="e">
        <f t="shared" si="1"/>
        <v>#DIV/0!</v>
      </c>
      <c r="U26" s="15" t="e">
        <f t="shared" si="2"/>
        <v>#DIV/0!</v>
      </c>
      <c r="V26" s="15"/>
      <c r="W26" s="15"/>
      <c r="X26" s="15"/>
      <c r="Y26" s="15"/>
      <c r="Z26" s="15"/>
      <c r="AA26" s="16"/>
    </row>
    <row r="27" spans="1:27" ht="18" customHeight="1">
      <c r="A27" s="147">
        <v>25</v>
      </c>
      <c r="B27" s="135" t="str">
        <f>VLOOKUP(A27,緊急聯絡!A$2:C$27,3,0)</f>
        <v>林昱萱</v>
      </c>
      <c r="C27" s="14">
        <v>92</v>
      </c>
      <c r="D27" s="14">
        <v>100</v>
      </c>
      <c r="E27" s="14">
        <v>100</v>
      </c>
      <c r="F27" s="307">
        <v>98</v>
      </c>
      <c r="G27" s="307">
        <v>98</v>
      </c>
      <c r="H27" s="135">
        <v>98</v>
      </c>
      <c r="I27" s="307">
        <v>90</v>
      </c>
      <c r="J27" s="135">
        <v>88</v>
      </c>
      <c r="K27" s="14">
        <f>AVERAGE(C27:J27)</f>
        <v>95.5</v>
      </c>
      <c r="L27" s="578">
        <f t="shared" si="0"/>
        <v>8</v>
      </c>
      <c r="M27" s="14"/>
      <c r="N27" s="14"/>
      <c r="O27" s="14"/>
      <c r="P27" s="14"/>
      <c r="Q27" s="15"/>
      <c r="R27" s="15"/>
      <c r="S27" s="15"/>
      <c r="T27" s="15" t="e">
        <f t="shared" si="1"/>
        <v>#DIV/0!</v>
      </c>
      <c r="U27" s="15" t="e">
        <f t="shared" si="2"/>
        <v>#DIV/0!</v>
      </c>
      <c r="V27" s="15"/>
      <c r="W27" s="15"/>
      <c r="X27" s="15"/>
      <c r="Y27" s="15"/>
      <c r="Z27" s="15"/>
      <c r="AA27" s="16"/>
    </row>
    <row r="28" spans="1:27" ht="18" customHeight="1">
      <c r="A28" s="147">
        <v>26</v>
      </c>
      <c r="B28" s="135" t="str">
        <f>VLOOKUP(A28,緊急聯絡!A$2:C$27,3,0)</f>
        <v>李文</v>
      </c>
      <c r="C28" s="14">
        <v>94</v>
      </c>
      <c r="D28" s="14">
        <v>90</v>
      </c>
      <c r="E28" s="14">
        <v>95</v>
      </c>
      <c r="F28" s="307">
        <v>100</v>
      </c>
      <c r="G28" s="307">
        <v>95</v>
      </c>
      <c r="H28" s="135">
        <v>95</v>
      </c>
      <c r="I28" s="307">
        <v>100</v>
      </c>
      <c r="J28" s="135">
        <v>95</v>
      </c>
      <c r="K28" s="14">
        <f>AVERAGE(C28:J28)</f>
        <v>95.5</v>
      </c>
      <c r="L28" s="14">
        <f t="shared" si="0"/>
        <v>8</v>
      </c>
      <c r="M28" s="14"/>
      <c r="N28" s="14"/>
      <c r="O28" s="14"/>
      <c r="P28" s="14"/>
      <c r="Q28" s="15"/>
      <c r="R28" s="15"/>
      <c r="S28" s="15"/>
      <c r="T28" s="15" t="e">
        <f t="shared" si="1"/>
        <v>#DIV/0!</v>
      </c>
      <c r="U28" s="15" t="e">
        <f t="shared" si="2"/>
        <v>#DIV/0!</v>
      </c>
      <c r="V28" s="15"/>
      <c r="W28" s="15"/>
      <c r="X28" s="15"/>
      <c r="Y28" s="15"/>
      <c r="Z28" s="15"/>
      <c r="AA28" s="16"/>
    </row>
    <row r="29" spans="1:27" ht="18" customHeight="1">
      <c r="A29" s="217">
        <v>29</v>
      </c>
      <c r="B29" s="212"/>
      <c r="C29" s="135"/>
      <c r="D29" s="135"/>
      <c r="E29" s="135"/>
      <c r="F29" s="307"/>
      <c r="G29" s="307"/>
      <c r="H29" s="135"/>
      <c r="I29" s="307"/>
      <c r="J29" s="135"/>
      <c r="K29" s="14"/>
      <c r="L29" s="135">
        <f t="shared" si="0"/>
        <v>26</v>
      </c>
      <c r="M29" s="135"/>
      <c r="N29" s="148"/>
      <c r="O29" s="148"/>
      <c r="P29" s="148"/>
      <c r="Q29" s="134"/>
      <c r="R29" s="134"/>
      <c r="S29" s="134"/>
      <c r="T29" s="15" t="e">
        <f t="shared" si="1"/>
        <v>#DIV/0!</v>
      </c>
      <c r="U29" s="15" t="e">
        <f t="shared" si="2"/>
        <v>#DIV/0!</v>
      </c>
      <c r="V29" s="134"/>
      <c r="W29" s="134"/>
      <c r="X29" s="134"/>
      <c r="Y29" s="134"/>
      <c r="Z29" s="134"/>
      <c r="AA29" s="149"/>
    </row>
    <row r="30" spans="1:27" ht="18" customHeight="1" thickBot="1">
      <c r="A30" s="217">
        <v>30</v>
      </c>
      <c r="B30" s="212"/>
      <c r="C30" s="142"/>
      <c r="D30" s="142"/>
      <c r="E30" s="142"/>
      <c r="F30" s="312"/>
      <c r="G30" s="312"/>
      <c r="H30" s="142"/>
      <c r="I30" s="312"/>
      <c r="J30" s="142"/>
      <c r="K30" s="142"/>
      <c r="L30" s="142"/>
      <c r="M30" s="142"/>
      <c r="N30" s="142"/>
      <c r="O30" s="142"/>
      <c r="P30" s="14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3"/>
    </row>
    <row r="31" spans="1:27" ht="17.25" thickTop="1">
      <c r="M31" s="136"/>
      <c r="N31" s="136"/>
      <c r="O31" s="136"/>
      <c r="P31" s="136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</row>
  </sheetData>
  <mergeCells count="2">
    <mergeCell ref="A1:B1"/>
    <mergeCell ref="M1:U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66"/>
  <sheetViews>
    <sheetView workbookViewId="0">
      <selection activeCell="E15" sqref="E15"/>
    </sheetView>
  </sheetViews>
  <sheetFormatPr defaultRowHeight="16.5"/>
  <cols>
    <col min="1" max="1" width="6.375" style="10" customWidth="1"/>
    <col min="2" max="2" width="13" style="10" customWidth="1"/>
    <col min="3" max="3" width="12.75" style="10" customWidth="1"/>
    <col min="4" max="4" width="10" style="10" customWidth="1"/>
    <col min="5" max="5" width="11.375" style="10" customWidth="1"/>
    <col min="6" max="6" width="12.375" style="10" customWidth="1"/>
    <col min="7" max="8" width="7.75" style="10" customWidth="1"/>
    <col min="9" max="12" width="6.375" style="10" customWidth="1"/>
    <col min="13" max="13" width="10" style="10" customWidth="1"/>
  </cols>
  <sheetData>
    <row r="1" spans="1:13" s="78" customFormat="1" ht="17.25" thickTop="1">
      <c r="A1" s="112" t="s">
        <v>312</v>
      </c>
      <c r="B1" s="548" t="s">
        <v>331</v>
      </c>
      <c r="C1" s="509"/>
      <c r="D1" s="509"/>
      <c r="E1" s="509"/>
      <c r="F1" s="509"/>
      <c r="G1" s="462"/>
      <c r="H1" s="120"/>
      <c r="I1" s="548" t="s">
        <v>319</v>
      </c>
      <c r="J1" s="509"/>
      <c r="K1" s="509"/>
      <c r="L1" s="509"/>
      <c r="M1" s="503"/>
    </row>
    <row r="2" spans="1:13" s="78" customFormat="1">
      <c r="A2" s="33"/>
      <c r="B2" s="123" t="s">
        <v>320</v>
      </c>
      <c r="C2" s="123" t="s">
        <v>321</v>
      </c>
      <c r="D2" s="123" t="s">
        <v>322</v>
      </c>
      <c r="E2" s="123" t="s">
        <v>323</v>
      </c>
      <c r="F2" s="123" t="s">
        <v>324</v>
      </c>
      <c r="G2" s="123" t="s">
        <v>330</v>
      </c>
      <c r="H2" s="123" t="s">
        <v>332</v>
      </c>
      <c r="I2" s="123" t="s">
        <v>325</v>
      </c>
      <c r="J2" s="124" t="s">
        <v>326</v>
      </c>
      <c r="K2" s="124" t="s">
        <v>327</v>
      </c>
      <c r="L2" s="124" t="s">
        <v>328</v>
      </c>
      <c r="M2" s="34" t="s">
        <v>329</v>
      </c>
    </row>
    <row r="3" spans="1:13">
      <c r="A3" s="113">
        <v>1</v>
      </c>
      <c r="B3" s="111"/>
      <c r="C3" s="111"/>
      <c r="D3" s="111"/>
      <c r="E3" s="111"/>
      <c r="F3" s="111"/>
      <c r="G3" s="111"/>
      <c r="H3" s="111">
        <v>1</v>
      </c>
      <c r="I3" s="111"/>
      <c r="J3" s="125"/>
      <c r="K3" s="125"/>
      <c r="L3" s="125">
        <v>1</v>
      </c>
      <c r="M3" s="114"/>
    </row>
    <row r="4" spans="1:13">
      <c r="A4" s="113">
        <v>2</v>
      </c>
      <c r="B4" s="111"/>
      <c r="C4" s="111"/>
      <c r="D4" s="111"/>
      <c r="E4" s="111"/>
      <c r="F4" s="111"/>
      <c r="G4" s="111">
        <v>1</v>
      </c>
      <c r="H4" s="111"/>
      <c r="I4" s="111"/>
      <c r="J4" s="125">
        <v>1</v>
      </c>
      <c r="K4" s="125"/>
      <c r="L4" s="125"/>
      <c r="M4" s="114"/>
    </row>
    <row r="5" spans="1:13">
      <c r="A5" s="113">
        <v>3</v>
      </c>
      <c r="B5" s="111"/>
      <c r="C5" s="111">
        <v>1</v>
      </c>
      <c r="D5" s="111"/>
      <c r="E5" s="111"/>
      <c r="F5" s="111"/>
      <c r="G5" s="111"/>
      <c r="H5" s="111"/>
      <c r="I5" s="111"/>
      <c r="J5" s="125">
        <v>1</v>
      </c>
      <c r="K5" s="125"/>
      <c r="L5" s="125"/>
      <c r="M5" s="114"/>
    </row>
    <row r="6" spans="1:13">
      <c r="A6" s="113">
        <v>4</v>
      </c>
      <c r="B6" s="111"/>
      <c r="C6" s="111"/>
      <c r="D6" s="111"/>
      <c r="E6" s="111"/>
      <c r="F6" s="111"/>
      <c r="G6" s="111"/>
      <c r="H6" s="111">
        <v>1</v>
      </c>
      <c r="I6" s="111"/>
      <c r="J6" s="125"/>
      <c r="K6" s="125"/>
      <c r="L6" s="125"/>
      <c r="M6" s="114">
        <v>1</v>
      </c>
    </row>
    <row r="7" spans="1:13">
      <c r="A7" s="113">
        <v>5</v>
      </c>
      <c r="B7" s="111">
        <v>1</v>
      </c>
      <c r="C7" s="111"/>
      <c r="D7" s="111"/>
      <c r="E7" s="111"/>
      <c r="F7" s="111"/>
      <c r="G7" s="111"/>
      <c r="H7" s="111"/>
      <c r="I7" s="111">
        <v>1</v>
      </c>
      <c r="J7" s="125"/>
      <c r="K7" s="125"/>
      <c r="L7" s="125"/>
      <c r="M7" s="114"/>
    </row>
    <row r="8" spans="1:13">
      <c r="A8" s="113">
        <v>6</v>
      </c>
      <c r="B8" s="111"/>
      <c r="C8" s="111">
        <v>1</v>
      </c>
      <c r="D8" s="111"/>
      <c r="E8" s="111"/>
      <c r="F8" s="111"/>
      <c r="G8" s="111"/>
      <c r="H8" s="111"/>
      <c r="I8" s="111">
        <v>1</v>
      </c>
      <c r="J8" s="125"/>
      <c r="K8" s="125"/>
      <c r="L8" s="125"/>
      <c r="M8" s="114"/>
    </row>
    <row r="9" spans="1:13">
      <c r="A9" s="113">
        <v>7</v>
      </c>
      <c r="B9" s="111"/>
      <c r="C9" s="111">
        <v>1</v>
      </c>
      <c r="D9" s="111"/>
      <c r="E9" s="111"/>
      <c r="F9" s="111"/>
      <c r="G9" s="111"/>
      <c r="H9" s="111"/>
      <c r="I9" s="111"/>
      <c r="J9" s="125">
        <v>1</v>
      </c>
      <c r="K9" s="125"/>
      <c r="L9" s="125"/>
      <c r="M9" s="114"/>
    </row>
    <row r="10" spans="1:13">
      <c r="A10" s="113">
        <v>8</v>
      </c>
      <c r="B10" s="111"/>
      <c r="C10" s="111"/>
      <c r="D10" s="111"/>
      <c r="E10" s="111"/>
      <c r="F10" s="111"/>
      <c r="G10" s="111"/>
      <c r="H10" s="111">
        <v>1</v>
      </c>
      <c r="I10" s="111"/>
      <c r="J10" s="125">
        <v>1</v>
      </c>
      <c r="K10" s="125"/>
      <c r="L10" s="125"/>
      <c r="M10" s="114"/>
    </row>
    <row r="11" spans="1:13">
      <c r="A11" s="113">
        <v>9</v>
      </c>
      <c r="B11" s="111"/>
      <c r="C11" s="111"/>
      <c r="D11" s="111"/>
      <c r="E11" s="111"/>
      <c r="F11" s="111"/>
      <c r="G11" s="111"/>
      <c r="H11" s="111">
        <v>1</v>
      </c>
      <c r="I11" s="111"/>
      <c r="J11" s="125"/>
      <c r="K11" s="125"/>
      <c r="L11" s="125">
        <v>1</v>
      </c>
      <c r="M11" s="114"/>
    </row>
    <row r="12" spans="1:13">
      <c r="A12" s="113">
        <v>10</v>
      </c>
      <c r="B12" s="111"/>
      <c r="C12" s="111"/>
      <c r="D12" s="111"/>
      <c r="E12" s="111">
        <v>1</v>
      </c>
      <c r="F12" s="111"/>
      <c r="G12" s="111"/>
      <c r="H12" s="111"/>
      <c r="I12" s="111"/>
      <c r="J12" s="125">
        <v>1</v>
      </c>
      <c r="K12" s="125"/>
      <c r="L12" s="125"/>
      <c r="M12" s="114"/>
    </row>
    <row r="13" spans="1:13">
      <c r="A13" s="113">
        <v>11</v>
      </c>
      <c r="B13" s="111"/>
      <c r="C13" s="111"/>
      <c r="D13" s="111"/>
      <c r="E13" s="111"/>
      <c r="F13" s="111">
        <v>1</v>
      </c>
      <c r="G13" s="111"/>
      <c r="H13" s="111"/>
      <c r="I13" s="111"/>
      <c r="J13" s="125">
        <v>1</v>
      </c>
      <c r="K13" s="125"/>
      <c r="L13" s="125"/>
      <c r="M13" s="114"/>
    </row>
    <row r="14" spans="1:13">
      <c r="A14" s="113">
        <v>12</v>
      </c>
      <c r="B14" s="111"/>
      <c r="C14" s="111"/>
      <c r="D14" s="111"/>
      <c r="E14" s="111"/>
      <c r="F14" s="111"/>
      <c r="G14" s="111"/>
      <c r="H14" s="111">
        <v>1</v>
      </c>
      <c r="I14" s="111">
        <v>1</v>
      </c>
      <c r="J14" s="125"/>
      <c r="K14" s="125"/>
      <c r="L14" s="125"/>
      <c r="M14" s="114"/>
    </row>
    <row r="15" spans="1:13">
      <c r="A15" s="113">
        <v>13</v>
      </c>
      <c r="B15" s="111"/>
      <c r="C15" s="111"/>
      <c r="D15" s="111"/>
      <c r="E15" s="111"/>
      <c r="F15" s="111"/>
      <c r="G15" s="111"/>
      <c r="H15" s="111">
        <v>1</v>
      </c>
      <c r="I15" s="111"/>
      <c r="J15" s="125"/>
      <c r="K15" s="125"/>
      <c r="L15" s="125"/>
      <c r="M15" s="114">
        <v>1</v>
      </c>
    </row>
    <row r="16" spans="1:13">
      <c r="A16" s="113">
        <v>14</v>
      </c>
      <c r="B16" s="111"/>
      <c r="C16" s="111"/>
      <c r="D16" s="111"/>
      <c r="E16" s="111"/>
      <c r="F16" s="111"/>
      <c r="G16" s="111"/>
      <c r="H16" s="111">
        <v>1</v>
      </c>
      <c r="I16" s="111"/>
      <c r="J16" s="125"/>
      <c r="K16" s="125"/>
      <c r="L16" s="125">
        <v>1</v>
      </c>
      <c r="M16" s="114"/>
    </row>
    <row r="17" spans="1:13">
      <c r="A17" s="113">
        <v>15</v>
      </c>
      <c r="B17" s="111"/>
      <c r="C17" s="111"/>
      <c r="D17" s="111"/>
      <c r="E17" s="111"/>
      <c r="F17" s="111"/>
      <c r="G17" s="111"/>
      <c r="H17" s="111">
        <v>1</v>
      </c>
      <c r="I17" s="111">
        <v>1</v>
      </c>
      <c r="J17" s="125"/>
      <c r="K17" s="125"/>
      <c r="L17" s="125"/>
      <c r="M17" s="114"/>
    </row>
    <row r="18" spans="1:13">
      <c r="A18" s="113">
        <v>16</v>
      </c>
      <c r="B18" s="111"/>
      <c r="C18" s="111"/>
      <c r="D18" s="111"/>
      <c r="E18" s="111"/>
      <c r="F18" s="111"/>
      <c r="G18" s="111"/>
      <c r="H18" s="111">
        <v>1</v>
      </c>
      <c r="I18" s="111"/>
      <c r="J18" s="125"/>
      <c r="K18" s="125"/>
      <c r="L18" s="125"/>
      <c r="M18" s="114">
        <v>1</v>
      </c>
    </row>
    <row r="19" spans="1:13">
      <c r="A19" s="113">
        <v>17</v>
      </c>
      <c r="B19" s="111"/>
      <c r="C19" s="111"/>
      <c r="D19" s="111"/>
      <c r="E19" s="111"/>
      <c r="F19" s="111"/>
      <c r="G19" s="111">
        <v>1</v>
      </c>
      <c r="H19" s="111"/>
      <c r="I19" s="111"/>
      <c r="J19" s="125">
        <v>1</v>
      </c>
      <c r="K19" s="125"/>
      <c r="L19" s="125"/>
      <c r="M19" s="114"/>
    </row>
    <row r="20" spans="1:13">
      <c r="A20" s="113">
        <v>18</v>
      </c>
      <c r="B20" s="111"/>
      <c r="C20" s="111"/>
      <c r="D20" s="111"/>
      <c r="E20" s="111"/>
      <c r="F20" s="111"/>
      <c r="G20" s="111">
        <v>1</v>
      </c>
      <c r="H20" s="111"/>
      <c r="I20" s="111"/>
      <c r="J20" s="125">
        <v>1</v>
      </c>
      <c r="K20" s="125"/>
      <c r="L20" s="125"/>
      <c r="M20" s="114"/>
    </row>
    <row r="21" spans="1:13">
      <c r="A21" s="113">
        <v>19</v>
      </c>
      <c r="B21" s="111"/>
      <c r="C21" s="111"/>
      <c r="D21" s="111"/>
      <c r="E21" s="111"/>
      <c r="F21" s="111"/>
      <c r="G21" s="111"/>
      <c r="H21" s="111">
        <v>1</v>
      </c>
      <c r="I21" s="111">
        <v>1</v>
      </c>
      <c r="J21" s="125"/>
      <c r="K21" s="125"/>
      <c r="L21" s="125"/>
      <c r="M21" s="114"/>
    </row>
    <row r="22" spans="1:13">
      <c r="A22" s="113">
        <v>20</v>
      </c>
      <c r="B22" s="111"/>
      <c r="C22" s="111"/>
      <c r="D22" s="111"/>
      <c r="E22" s="111"/>
      <c r="F22" s="111"/>
      <c r="G22" s="111"/>
      <c r="H22" s="111">
        <v>1</v>
      </c>
      <c r="I22" s="111"/>
      <c r="J22" s="125"/>
      <c r="K22" s="125"/>
      <c r="L22" s="125"/>
      <c r="M22" s="114">
        <v>1</v>
      </c>
    </row>
    <row r="23" spans="1:13">
      <c r="A23" s="113">
        <v>21</v>
      </c>
      <c r="B23" s="111"/>
      <c r="C23" s="111"/>
      <c r="D23" s="111"/>
      <c r="E23" s="111"/>
      <c r="F23" s="111"/>
      <c r="G23" s="111"/>
      <c r="H23" s="111">
        <v>1</v>
      </c>
      <c r="I23" s="111"/>
      <c r="J23" s="125"/>
      <c r="K23" s="125"/>
      <c r="L23" s="125"/>
      <c r="M23" s="114">
        <v>1</v>
      </c>
    </row>
    <row r="24" spans="1:13">
      <c r="A24" s="113">
        <v>22</v>
      </c>
      <c r="B24" s="111"/>
      <c r="C24" s="111"/>
      <c r="D24" s="111"/>
      <c r="E24" s="111"/>
      <c r="F24" s="111"/>
      <c r="G24" s="111"/>
      <c r="H24" s="111">
        <v>1</v>
      </c>
      <c r="I24" s="111">
        <v>1</v>
      </c>
      <c r="J24" s="125"/>
      <c r="K24" s="125"/>
      <c r="L24" s="125"/>
      <c r="M24" s="114"/>
    </row>
    <row r="25" spans="1:13">
      <c r="A25" s="113">
        <v>23</v>
      </c>
      <c r="B25" s="111"/>
      <c r="C25" s="111"/>
      <c r="D25" s="111">
        <v>1</v>
      </c>
      <c r="E25" s="111"/>
      <c r="F25" s="111"/>
      <c r="G25" s="111"/>
      <c r="H25" s="111"/>
      <c r="I25" s="111"/>
      <c r="J25" s="125"/>
      <c r="K25" s="125"/>
      <c r="L25" s="125"/>
      <c r="M25" s="114">
        <v>1</v>
      </c>
    </row>
    <row r="26" spans="1:13">
      <c r="A26" s="113">
        <v>24</v>
      </c>
      <c r="B26" s="111"/>
      <c r="C26" s="111"/>
      <c r="D26" s="111"/>
      <c r="E26" s="111"/>
      <c r="F26" s="111"/>
      <c r="G26" s="111">
        <v>1</v>
      </c>
      <c r="H26" s="111"/>
      <c r="I26" s="111"/>
      <c r="J26" s="125"/>
      <c r="K26" s="125"/>
      <c r="L26" s="125">
        <v>1</v>
      </c>
      <c r="M26" s="114"/>
    </row>
    <row r="27" spans="1:13">
      <c r="A27" s="113">
        <v>25</v>
      </c>
      <c r="B27" s="111"/>
      <c r="C27" s="111"/>
      <c r="D27" s="111"/>
      <c r="E27" s="111"/>
      <c r="F27" s="111"/>
      <c r="G27" s="111"/>
      <c r="H27" s="111">
        <v>1</v>
      </c>
      <c r="I27" s="111">
        <v>1</v>
      </c>
      <c r="J27" s="125"/>
      <c r="K27" s="125"/>
      <c r="L27" s="125"/>
      <c r="M27" s="114"/>
    </row>
    <row r="28" spans="1:13">
      <c r="A28" s="113">
        <v>26</v>
      </c>
      <c r="B28" s="111"/>
      <c r="C28" s="111"/>
      <c r="D28" s="111"/>
      <c r="E28" s="111">
        <v>1</v>
      </c>
      <c r="F28" s="111"/>
      <c r="G28" s="111"/>
      <c r="H28" s="111"/>
      <c r="I28" s="111"/>
      <c r="J28" s="125"/>
      <c r="K28" s="125"/>
      <c r="L28" s="125">
        <v>1</v>
      </c>
      <c r="M28" s="114"/>
    </row>
    <row r="29" spans="1:13">
      <c r="A29" s="113">
        <v>27</v>
      </c>
      <c r="B29" s="111"/>
      <c r="C29" s="111">
        <v>1</v>
      </c>
      <c r="D29" s="111"/>
      <c r="E29" s="111"/>
      <c r="F29" s="111"/>
      <c r="G29" s="111"/>
      <c r="H29" s="111"/>
      <c r="I29" s="111"/>
      <c r="J29" s="125"/>
      <c r="K29" s="125"/>
      <c r="L29" s="125">
        <v>1</v>
      </c>
      <c r="M29" s="114"/>
    </row>
    <row r="30" spans="1:13">
      <c r="A30" s="113">
        <v>28</v>
      </c>
      <c r="B30" s="111"/>
      <c r="C30" s="111"/>
      <c r="D30" s="111"/>
      <c r="E30" s="111"/>
      <c r="F30" s="111"/>
      <c r="G30" s="111"/>
      <c r="H30" s="111">
        <v>1</v>
      </c>
      <c r="I30" s="111">
        <v>1</v>
      </c>
      <c r="J30" s="125"/>
      <c r="K30" s="125"/>
      <c r="L30" s="125"/>
      <c r="M30" s="114"/>
    </row>
    <row r="31" spans="1:13">
      <c r="A31" s="113">
        <v>29</v>
      </c>
      <c r="B31" s="111"/>
      <c r="C31" s="111"/>
      <c r="D31" s="111">
        <v>1</v>
      </c>
      <c r="E31" s="111"/>
      <c r="F31" s="111"/>
      <c r="G31" s="111"/>
      <c r="H31" s="111"/>
      <c r="I31" s="111"/>
      <c r="J31" s="125"/>
      <c r="K31" s="125"/>
      <c r="L31" s="125"/>
      <c r="M31" s="114">
        <v>1</v>
      </c>
    </row>
    <row r="32" spans="1:13" ht="17.25" thickBot="1">
      <c r="A32" s="115"/>
      <c r="B32" s="116">
        <f>SUM(B3:B31)</f>
        <v>1</v>
      </c>
      <c r="C32" s="116">
        <f t="shared" ref="C32:M32" si="0">SUM(C3:C31)</f>
        <v>4</v>
      </c>
      <c r="D32" s="116">
        <f t="shared" si="0"/>
        <v>2</v>
      </c>
      <c r="E32" s="116">
        <f t="shared" si="0"/>
        <v>2</v>
      </c>
      <c r="F32" s="116">
        <f t="shared" si="0"/>
        <v>1</v>
      </c>
      <c r="G32" s="116">
        <f t="shared" si="0"/>
        <v>4</v>
      </c>
      <c r="H32" s="116">
        <f t="shared" si="0"/>
        <v>15</v>
      </c>
      <c r="I32" s="116">
        <f t="shared" si="0"/>
        <v>8</v>
      </c>
      <c r="J32" s="116">
        <f t="shared" si="0"/>
        <v>8</v>
      </c>
      <c r="K32" s="116">
        <f t="shared" si="0"/>
        <v>0</v>
      </c>
      <c r="L32" s="116">
        <f t="shared" si="0"/>
        <v>6</v>
      </c>
      <c r="M32" s="117">
        <f t="shared" si="0"/>
        <v>7</v>
      </c>
    </row>
    <row r="33" spans="1:13" ht="17.25" thickTop="1"/>
    <row r="34" spans="1:13" ht="17.25" thickBot="1"/>
    <row r="35" spans="1:13" ht="17.25" thickTop="1">
      <c r="A35" s="112" t="s">
        <v>312</v>
      </c>
      <c r="B35" s="21" t="s">
        <v>310</v>
      </c>
      <c r="C35" s="21"/>
      <c r="D35" s="21"/>
      <c r="E35" s="21"/>
      <c r="F35" s="21"/>
      <c r="G35" s="21"/>
      <c r="H35" s="21"/>
      <c r="I35" s="21" t="s">
        <v>311</v>
      </c>
      <c r="J35" s="55"/>
      <c r="K35" s="55"/>
      <c r="L35" s="55"/>
      <c r="M35" s="55"/>
    </row>
    <row r="36" spans="1:13">
      <c r="A36" s="113">
        <v>1</v>
      </c>
      <c r="B36" s="111"/>
      <c r="C36" s="111"/>
      <c r="D36" s="111"/>
      <c r="E36" s="111"/>
      <c r="F36" s="111"/>
      <c r="G36" s="111"/>
      <c r="H36" s="111"/>
      <c r="I36" s="111">
        <v>1</v>
      </c>
      <c r="J36" s="55"/>
      <c r="K36" s="55"/>
      <c r="L36" s="55"/>
      <c r="M36" s="55"/>
    </row>
    <row r="37" spans="1:13">
      <c r="A37" s="113">
        <v>2</v>
      </c>
      <c r="B37" s="111"/>
      <c r="C37" s="111"/>
      <c r="D37" s="111"/>
      <c r="E37" s="111"/>
      <c r="F37" s="111"/>
      <c r="G37" s="111"/>
      <c r="H37" s="111"/>
      <c r="I37" s="111">
        <v>1</v>
      </c>
      <c r="J37" s="55"/>
      <c r="K37" s="55"/>
      <c r="L37" s="55"/>
      <c r="M37" s="55"/>
    </row>
    <row r="38" spans="1:13">
      <c r="A38" s="113">
        <v>3</v>
      </c>
      <c r="B38" s="111"/>
      <c r="C38" s="111"/>
      <c r="D38" s="111"/>
      <c r="E38" s="111"/>
      <c r="F38" s="111"/>
      <c r="G38" s="111"/>
      <c r="H38" s="111"/>
      <c r="I38" s="111"/>
      <c r="J38" s="55"/>
      <c r="K38" s="55"/>
      <c r="L38" s="55"/>
      <c r="M38" s="55"/>
    </row>
    <row r="39" spans="1:13">
      <c r="A39" s="113">
        <v>4</v>
      </c>
      <c r="B39" s="111"/>
      <c r="C39" s="111"/>
      <c r="D39" s="111"/>
      <c r="E39" s="111"/>
      <c r="F39" s="111"/>
      <c r="G39" s="111"/>
      <c r="H39" s="111"/>
      <c r="I39" s="111"/>
      <c r="J39" s="55"/>
      <c r="K39" s="55"/>
      <c r="L39" s="55"/>
      <c r="M39" s="55"/>
    </row>
    <row r="40" spans="1:13">
      <c r="A40" s="113">
        <v>5</v>
      </c>
      <c r="B40" s="111"/>
      <c r="C40" s="111"/>
      <c r="D40" s="111"/>
      <c r="E40" s="111"/>
      <c r="F40" s="111"/>
      <c r="G40" s="111"/>
      <c r="H40" s="111"/>
      <c r="I40" s="111"/>
      <c r="J40" s="55"/>
      <c r="K40" s="55"/>
      <c r="L40" s="55"/>
      <c r="M40" s="55"/>
    </row>
    <row r="41" spans="1:13">
      <c r="A41" s="113">
        <v>6</v>
      </c>
      <c r="B41" s="111"/>
      <c r="C41" s="111"/>
      <c r="D41" s="111"/>
      <c r="E41" s="111"/>
      <c r="F41" s="111"/>
      <c r="G41" s="111"/>
      <c r="H41" s="111"/>
      <c r="I41" s="111"/>
      <c r="J41" s="55"/>
      <c r="K41" s="55"/>
      <c r="L41" s="55"/>
      <c r="M41" s="55"/>
    </row>
    <row r="42" spans="1:13">
      <c r="A42" s="113">
        <v>7</v>
      </c>
      <c r="B42" s="111"/>
      <c r="C42" s="111"/>
      <c r="D42" s="111"/>
      <c r="E42" s="111"/>
      <c r="F42" s="111"/>
      <c r="G42" s="111"/>
      <c r="H42" s="111"/>
      <c r="I42" s="111">
        <v>1</v>
      </c>
      <c r="J42" s="55"/>
      <c r="K42" s="55"/>
      <c r="L42" s="55"/>
      <c r="M42" s="55"/>
    </row>
    <row r="43" spans="1:13">
      <c r="A43" s="113">
        <v>8</v>
      </c>
      <c r="B43" s="111"/>
      <c r="C43" s="111"/>
      <c r="D43" s="111"/>
      <c r="E43" s="111"/>
      <c r="F43" s="111"/>
      <c r="G43" s="111"/>
      <c r="H43" s="111"/>
      <c r="I43" s="111"/>
      <c r="J43" s="55"/>
      <c r="K43" s="55"/>
      <c r="L43" s="55"/>
      <c r="M43" s="55"/>
    </row>
    <row r="44" spans="1:13">
      <c r="A44" s="113">
        <v>9</v>
      </c>
      <c r="B44" s="111"/>
      <c r="C44" s="111"/>
      <c r="D44" s="111"/>
      <c r="E44" s="111"/>
      <c r="F44" s="111"/>
      <c r="G44" s="111"/>
      <c r="H44" s="111"/>
      <c r="I44" s="111">
        <v>1</v>
      </c>
      <c r="J44" s="55"/>
      <c r="K44" s="55"/>
      <c r="L44" s="55"/>
      <c r="M44" s="55"/>
    </row>
    <row r="45" spans="1:13">
      <c r="A45" s="113">
        <v>10</v>
      </c>
      <c r="B45" s="111"/>
      <c r="C45" s="111"/>
      <c r="D45" s="111"/>
      <c r="E45" s="111"/>
      <c r="F45" s="111"/>
      <c r="G45" s="111"/>
      <c r="H45" s="111"/>
      <c r="I45" s="111">
        <v>1</v>
      </c>
      <c r="J45" s="55"/>
      <c r="K45" s="55"/>
      <c r="L45" s="55"/>
      <c r="M45" s="55"/>
    </row>
    <row r="46" spans="1:13">
      <c r="A46" s="113">
        <v>11</v>
      </c>
      <c r="B46" s="111"/>
      <c r="C46" s="111"/>
      <c r="D46" s="111"/>
      <c r="E46" s="111"/>
      <c r="F46" s="111"/>
      <c r="G46" s="111"/>
      <c r="H46" s="111"/>
      <c r="I46" s="111">
        <v>1</v>
      </c>
      <c r="J46" s="55"/>
      <c r="K46" s="55"/>
      <c r="L46" s="55"/>
      <c r="M46" s="55"/>
    </row>
    <row r="47" spans="1:13">
      <c r="A47" s="113">
        <v>12</v>
      </c>
      <c r="B47" s="111"/>
      <c r="C47" s="111"/>
      <c r="D47" s="111"/>
      <c r="E47" s="111"/>
      <c r="F47" s="111"/>
      <c r="G47" s="111"/>
      <c r="H47" s="111"/>
      <c r="I47" s="111">
        <v>1</v>
      </c>
      <c r="J47" s="55"/>
      <c r="K47" s="55"/>
      <c r="L47" s="55"/>
      <c r="M47" s="55"/>
    </row>
    <row r="48" spans="1:13">
      <c r="A48" s="113">
        <v>13</v>
      </c>
      <c r="B48" s="111"/>
      <c r="C48" s="111"/>
      <c r="D48" s="111"/>
      <c r="E48" s="111"/>
      <c r="F48" s="111"/>
      <c r="G48" s="111"/>
      <c r="H48" s="111"/>
      <c r="I48" s="111">
        <v>1</v>
      </c>
      <c r="J48" s="55"/>
      <c r="K48" s="55"/>
      <c r="L48" s="55"/>
      <c r="M48" s="55"/>
    </row>
    <row r="49" spans="1:13">
      <c r="A49" s="113">
        <v>14</v>
      </c>
      <c r="B49" s="111"/>
      <c r="C49" s="111"/>
      <c r="D49" s="111"/>
      <c r="E49" s="111"/>
      <c r="F49" s="111"/>
      <c r="G49" s="111"/>
      <c r="H49" s="111"/>
      <c r="I49" s="111">
        <v>1</v>
      </c>
      <c r="J49" s="55"/>
      <c r="K49" s="55"/>
      <c r="L49" s="55"/>
      <c r="M49" s="55"/>
    </row>
    <row r="50" spans="1:13">
      <c r="A50" s="113">
        <v>15</v>
      </c>
      <c r="B50" s="111"/>
      <c r="C50" s="111"/>
      <c r="D50" s="111"/>
      <c r="E50" s="111"/>
      <c r="F50" s="111"/>
      <c r="G50" s="111"/>
      <c r="H50" s="111"/>
      <c r="I50" s="111">
        <v>1</v>
      </c>
      <c r="J50" s="55"/>
      <c r="K50" s="55"/>
      <c r="L50" s="55"/>
      <c r="M50" s="55"/>
    </row>
    <row r="51" spans="1:13">
      <c r="A51" s="113">
        <v>16</v>
      </c>
      <c r="B51" s="111"/>
      <c r="C51" s="111"/>
      <c r="D51" s="111"/>
      <c r="E51" s="111"/>
      <c r="F51" s="111"/>
      <c r="G51" s="111"/>
      <c r="H51" s="111"/>
      <c r="I51" s="111">
        <v>1</v>
      </c>
      <c r="J51" s="55"/>
      <c r="K51" s="55"/>
      <c r="L51" s="55"/>
      <c r="M51" s="55"/>
    </row>
    <row r="52" spans="1:13">
      <c r="A52" s="113">
        <v>17</v>
      </c>
      <c r="B52" s="111"/>
      <c r="C52" s="111"/>
      <c r="D52" s="111"/>
      <c r="E52" s="111"/>
      <c r="F52" s="111"/>
      <c r="G52" s="111"/>
      <c r="H52" s="111"/>
      <c r="I52" s="111">
        <v>1</v>
      </c>
      <c r="J52" s="55"/>
      <c r="K52" s="55"/>
      <c r="L52" s="55"/>
      <c r="M52" s="55"/>
    </row>
    <row r="53" spans="1:13">
      <c r="A53" s="113">
        <v>18</v>
      </c>
      <c r="B53" s="111"/>
      <c r="C53" s="111"/>
      <c r="D53" s="111"/>
      <c r="E53" s="111"/>
      <c r="F53" s="111"/>
      <c r="G53" s="111"/>
      <c r="H53" s="111"/>
      <c r="I53" s="111">
        <v>1</v>
      </c>
      <c r="J53" s="55"/>
      <c r="K53" s="55"/>
      <c r="L53" s="55"/>
      <c r="M53" s="55"/>
    </row>
    <row r="54" spans="1:13">
      <c r="A54" s="113">
        <v>19</v>
      </c>
      <c r="B54" s="111"/>
      <c r="C54" s="111"/>
      <c r="D54" s="111"/>
      <c r="E54" s="111"/>
      <c r="F54" s="111"/>
      <c r="G54" s="111"/>
      <c r="H54" s="111"/>
      <c r="I54" s="111"/>
      <c r="J54" s="55"/>
      <c r="K54" s="55"/>
      <c r="L54" s="55"/>
      <c r="M54" s="55"/>
    </row>
    <row r="55" spans="1:13">
      <c r="A55" s="113">
        <v>20</v>
      </c>
      <c r="B55" s="111"/>
      <c r="C55" s="111"/>
      <c r="D55" s="111"/>
      <c r="E55" s="111"/>
      <c r="F55" s="111"/>
      <c r="G55" s="111"/>
      <c r="H55" s="111"/>
      <c r="I55" s="111">
        <v>1</v>
      </c>
      <c r="J55" s="55"/>
      <c r="K55" s="55"/>
      <c r="L55" s="55"/>
      <c r="M55" s="55"/>
    </row>
    <row r="56" spans="1:13">
      <c r="A56" s="113">
        <v>21</v>
      </c>
      <c r="B56" s="111"/>
      <c r="C56" s="111"/>
      <c r="D56" s="111"/>
      <c r="E56" s="111"/>
      <c r="F56" s="111"/>
      <c r="G56" s="111"/>
      <c r="H56" s="111"/>
      <c r="I56" s="111">
        <v>1</v>
      </c>
      <c r="J56" s="55"/>
      <c r="K56" s="55"/>
      <c r="L56" s="55"/>
      <c r="M56" s="55"/>
    </row>
    <row r="57" spans="1:13">
      <c r="A57" s="113">
        <v>22</v>
      </c>
      <c r="B57" s="111"/>
      <c r="C57" s="111"/>
      <c r="D57" s="111"/>
      <c r="E57" s="111"/>
      <c r="F57" s="111"/>
      <c r="G57" s="111"/>
      <c r="H57" s="111"/>
      <c r="I57" s="111"/>
      <c r="J57" s="55"/>
      <c r="K57" s="55"/>
      <c r="L57" s="55"/>
      <c r="M57" s="55"/>
    </row>
    <row r="58" spans="1:13">
      <c r="A58" s="113">
        <v>23</v>
      </c>
      <c r="B58" s="111"/>
      <c r="C58" s="111"/>
      <c r="D58" s="111"/>
      <c r="E58" s="111"/>
      <c r="F58" s="111"/>
      <c r="G58" s="111"/>
      <c r="H58" s="111"/>
      <c r="I58" s="111">
        <v>1</v>
      </c>
      <c r="J58" s="55"/>
      <c r="K58" s="55"/>
      <c r="L58" s="55"/>
      <c r="M58" s="55"/>
    </row>
    <row r="59" spans="1:13">
      <c r="A59" s="113">
        <v>24</v>
      </c>
      <c r="B59" s="111"/>
      <c r="C59" s="111"/>
      <c r="D59" s="111"/>
      <c r="E59" s="111"/>
      <c r="F59" s="111"/>
      <c r="G59" s="111"/>
      <c r="H59" s="111"/>
      <c r="I59" s="111"/>
      <c r="J59" s="55"/>
      <c r="K59" s="55"/>
      <c r="L59" s="55"/>
      <c r="M59" s="55"/>
    </row>
    <row r="60" spans="1:13">
      <c r="A60" s="113">
        <v>25</v>
      </c>
      <c r="B60" s="111">
        <v>1</v>
      </c>
      <c r="C60" s="111"/>
      <c r="D60" s="111"/>
      <c r="E60" s="111"/>
      <c r="F60" s="111"/>
      <c r="G60" s="111"/>
      <c r="H60" s="111"/>
      <c r="I60" s="111"/>
      <c r="J60" s="55"/>
      <c r="K60" s="55"/>
      <c r="L60" s="55"/>
      <c r="M60" s="55"/>
    </row>
    <row r="61" spans="1:13">
      <c r="A61" s="113">
        <v>26</v>
      </c>
      <c r="B61" s="111"/>
      <c r="C61" s="111"/>
      <c r="D61" s="111"/>
      <c r="E61" s="111"/>
      <c r="F61" s="111"/>
      <c r="G61" s="111"/>
      <c r="H61" s="111"/>
      <c r="I61" s="111">
        <v>1</v>
      </c>
      <c r="J61" s="55"/>
      <c r="K61" s="55"/>
      <c r="L61" s="55"/>
      <c r="M61" s="55"/>
    </row>
    <row r="62" spans="1:13">
      <c r="A62" s="113">
        <v>27</v>
      </c>
      <c r="B62" s="111"/>
      <c r="C62" s="111"/>
      <c r="D62" s="111"/>
      <c r="E62" s="111"/>
      <c r="F62" s="111"/>
      <c r="G62" s="111"/>
      <c r="H62" s="111"/>
      <c r="I62" s="111"/>
      <c r="J62" s="55"/>
      <c r="K62" s="55"/>
      <c r="L62" s="55"/>
      <c r="M62" s="55"/>
    </row>
    <row r="63" spans="1:13">
      <c r="A63" s="113">
        <v>28</v>
      </c>
      <c r="B63" s="111"/>
      <c r="C63" s="111"/>
      <c r="D63" s="111"/>
      <c r="E63" s="111"/>
      <c r="F63" s="111"/>
      <c r="G63" s="111"/>
      <c r="H63" s="111"/>
      <c r="I63" s="111">
        <v>1</v>
      </c>
      <c r="J63" s="55"/>
      <c r="K63" s="55"/>
      <c r="L63" s="55"/>
      <c r="M63" s="55"/>
    </row>
    <row r="64" spans="1:13">
      <c r="A64" s="113">
        <v>29</v>
      </c>
      <c r="B64" s="111"/>
      <c r="C64" s="111"/>
      <c r="D64" s="111"/>
      <c r="E64" s="111"/>
      <c r="F64" s="111"/>
      <c r="G64" s="111"/>
      <c r="H64" s="111"/>
      <c r="I64" s="111">
        <v>1</v>
      </c>
      <c r="J64" s="55"/>
      <c r="K64" s="55"/>
      <c r="L64" s="55"/>
      <c r="M64" s="55"/>
    </row>
    <row r="65" spans="1:13" ht="17.25" thickBot="1">
      <c r="A65" s="115"/>
      <c r="B65" s="116">
        <f>SUM(B36:B64)</f>
        <v>1</v>
      </c>
      <c r="C65" s="116"/>
      <c r="D65" s="116"/>
      <c r="E65" s="116"/>
      <c r="F65" s="116"/>
      <c r="G65" s="116"/>
      <c r="H65" s="116"/>
      <c r="I65" s="116">
        <f>SUM(I36:I64)</f>
        <v>19</v>
      </c>
      <c r="J65" s="55"/>
      <c r="K65" s="55"/>
      <c r="L65" s="55"/>
      <c r="M65" s="55"/>
    </row>
    <row r="66" spans="1:13" ht="17.25" thickTop="1"/>
  </sheetData>
  <mergeCells count="2">
    <mergeCell ref="I1:M1"/>
    <mergeCell ref="B1:G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3"/>
  <sheetViews>
    <sheetView topLeftCell="A10" workbookViewId="0">
      <selection activeCell="J21" sqref="J21"/>
    </sheetView>
  </sheetViews>
  <sheetFormatPr defaultRowHeight="16.5"/>
  <sheetData>
    <row r="1" spans="1:13" ht="24.75" customHeight="1">
      <c r="A1" s="549" t="s">
        <v>352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</row>
    <row r="2" spans="1:13" s="78" customFormat="1" ht="24.75" customHeight="1">
      <c r="A2" s="549" t="s">
        <v>353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</row>
    <row r="3" spans="1:13" s="78" customFormat="1" ht="24.75" customHeight="1" thickBot="1">
      <c r="A3" s="550" t="s">
        <v>354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</row>
    <row r="4" spans="1:13" ht="17.25" thickTop="1">
      <c r="A4" s="551" t="s">
        <v>333</v>
      </c>
      <c r="B4" s="126" t="s">
        <v>334</v>
      </c>
      <c r="C4" s="128" t="s">
        <v>337</v>
      </c>
      <c r="D4" s="128" t="s">
        <v>340</v>
      </c>
      <c r="E4" s="128" t="s">
        <v>341</v>
      </c>
      <c r="F4" s="130" t="s">
        <v>343</v>
      </c>
      <c r="G4" s="130" t="s">
        <v>344</v>
      </c>
      <c r="H4" s="130" t="s">
        <v>345</v>
      </c>
      <c r="I4" s="130" t="s">
        <v>347</v>
      </c>
      <c r="J4" s="130" t="s">
        <v>348</v>
      </c>
      <c r="K4" s="132" t="s">
        <v>350</v>
      </c>
    </row>
    <row r="5" spans="1:13" ht="17.25" thickBot="1">
      <c r="A5" s="552"/>
      <c r="B5" s="127" t="s">
        <v>335</v>
      </c>
      <c r="C5" s="129" t="s">
        <v>336</v>
      </c>
      <c r="D5" s="129" t="s">
        <v>339</v>
      </c>
      <c r="E5" s="129" t="s">
        <v>342</v>
      </c>
      <c r="F5" s="131" t="s">
        <v>338</v>
      </c>
      <c r="G5" s="131">
        <v>2</v>
      </c>
      <c r="H5" s="131" t="s">
        <v>346</v>
      </c>
      <c r="I5" s="131">
        <v>1</v>
      </c>
      <c r="J5" s="131" t="s">
        <v>349</v>
      </c>
      <c r="K5" s="133" t="s">
        <v>351</v>
      </c>
    </row>
    <row r="6" spans="1:13" ht="17.25" thickTop="1"/>
    <row r="9" spans="1:13" ht="17.25" thickBot="1">
      <c r="A9" s="155" t="s">
        <v>409</v>
      </c>
    </row>
    <row r="10" spans="1:13" s="78" customFormat="1" ht="17.25" thickTop="1">
      <c r="A10" s="553" t="s">
        <v>333</v>
      </c>
      <c r="B10" s="557" t="s">
        <v>347</v>
      </c>
      <c r="C10" s="557"/>
      <c r="D10" s="557" t="s">
        <v>344</v>
      </c>
      <c r="E10" s="557"/>
      <c r="F10" s="156" t="s">
        <v>334</v>
      </c>
      <c r="G10" s="157" t="s">
        <v>348</v>
      </c>
      <c r="H10" s="157" t="s">
        <v>337</v>
      </c>
      <c r="I10" s="157" t="s">
        <v>350</v>
      </c>
      <c r="J10" s="157" t="s">
        <v>340</v>
      </c>
      <c r="K10" s="157" t="s">
        <v>343</v>
      </c>
      <c r="L10" s="157" t="s">
        <v>341</v>
      </c>
      <c r="M10" s="158" t="s">
        <v>345</v>
      </c>
    </row>
    <row r="11" spans="1:13" s="78" customFormat="1">
      <c r="A11" s="554"/>
      <c r="B11" s="558">
        <v>1</v>
      </c>
      <c r="C11" s="558"/>
      <c r="D11" s="558">
        <v>2</v>
      </c>
      <c r="E11" s="558"/>
      <c r="F11" s="159" t="s">
        <v>335</v>
      </c>
      <c r="G11" s="160" t="s">
        <v>349</v>
      </c>
      <c r="H11" s="160" t="s">
        <v>336</v>
      </c>
      <c r="I11" s="160" t="s">
        <v>351</v>
      </c>
      <c r="J11" s="160" t="s">
        <v>339</v>
      </c>
      <c r="K11" s="160" t="s">
        <v>385</v>
      </c>
      <c r="L11" s="160" t="s">
        <v>342</v>
      </c>
      <c r="M11" s="161" t="s">
        <v>346</v>
      </c>
    </row>
    <row r="12" spans="1:13" ht="33">
      <c r="A12" s="555" t="s">
        <v>333</v>
      </c>
      <c r="B12" s="162" t="s">
        <v>386</v>
      </c>
      <c r="C12" s="162" t="s">
        <v>389</v>
      </c>
      <c r="D12" s="162" t="s">
        <v>390</v>
      </c>
      <c r="E12" s="162" t="s">
        <v>391</v>
      </c>
      <c r="F12" s="162" t="s">
        <v>392</v>
      </c>
      <c r="G12" s="163" t="s">
        <v>395</v>
      </c>
      <c r="H12" s="162" t="s">
        <v>398</v>
      </c>
      <c r="I12" s="163" t="s">
        <v>399</v>
      </c>
      <c r="J12" s="163" t="s">
        <v>400</v>
      </c>
      <c r="K12" s="163" t="s">
        <v>401</v>
      </c>
      <c r="L12" s="162" t="s">
        <v>403</v>
      </c>
      <c r="M12" s="164" t="s">
        <v>406</v>
      </c>
    </row>
    <row r="13" spans="1:13">
      <c r="A13" s="555"/>
      <c r="B13" s="165" t="s">
        <v>387</v>
      </c>
      <c r="C13" s="165" t="s">
        <v>387</v>
      </c>
      <c r="D13" s="165" t="s">
        <v>387</v>
      </c>
      <c r="E13" s="165" t="s">
        <v>387</v>
      </c>
      <c r="F13" s="165" t="s">
        <v>393</v>
      </c>
      <c r="G13" s="166" t="s">
        <v>396</v>
      </c>
      <c r="H13" s="165" t="s">
        <v>387</v>
      </c>
      <c r="I13" s="166" t="s">
        <v>407</v>
      </c>
      <c r="J13" s="166" t="s">
        <v>396</v>
      </c>
      <c r="K13" s="166" t="s">
        <v>396</v>
      </c>
      <c r="L13" s="165" t="s">
        <v>404</v>
      </c>
      <c r="M13" s="167" t="s">
        <v>407</v>
      </c>
    </row>
    <row r="14" spans="1:13" ht="33.75" thickBot="1">
      <c r="A14" s="556"/>
      <c r="B14" s="168" t="s">
        <v>388</v>
      </c>
      <c r="C14" s="168" t="s">
        <v>388</v>
      </c>
      <c r="D14" s="168" t="s">
        <v>388</v>
      </c>
      <c r="E14" s="168" t="s">
        <v>388</v>
      </c>
      <c r="F14" s="168" t="s">
        <v>394</v>
      </c>
      <c r="G14" s="169" t="s">
        <v>397</v>
      </c>
      <c r="H14" s="168" t="s">
        <v>394</v>
      </c>
      <c r="I14" s="170" t="s">
        <v>408</v>
      </c>
      <c r="J14" s="169" t="s">
        <v>397</v>
      </c>
      <c r="K14" s="169" t="s">
        <v>402</v>
      </c>
      <c r="L14" s="168" t="s">
        <v>405</v>
      </c>
      <c r="M14" s="171" t="s">
        <v>408</v>
      </c>
    </row>
    <row r="15" spans="1:13" ht="17.25" thickTop="1">
      <c r="M15" s="78"/>
    </row>
    <row r="17" spans="1:13" ht="17.25" thickBot="1">
      <c r="A17" s="155" t="s">
        <v>409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t="17.25" thickTop="1">
      <c r="A18" s="553" t="s">
        <v>333</v>
      </c>
      <c r="B18" s="557" t="s">
        <v>347</v>
      </c>
      <c r="C18" s="557"/>
      <c r="D18" s="557" t="s">
        <v>344</v>
      </c>
      <c r="E18" s="557"/>
      <c r="F18" s="156" t="s">
        <v>334</v>
      </c>
      <c r="G18" s="175" t="s">
        <v>337</v>
      </c>
      <c r="H18" s="175" t="s">
        <v>340</v>
      </c>
      <c r="I18" s="175" t="s">
        <v>341</v>
      </c>
    </row>
    <row r="19" spans="1:13">
      <c r="A19" s="554"/>
      <c r="B19" s="558">
        <v>1</v>
      </c>
      <c r="C19" s="558"/>
      <c r="D19" s="558">
        <v>2</v>
      </c>
      <c r="E19" s="558"/>
      <c r="F19" s="159" t="s">
        <v>335</v>
      </c>
      <c r="G19" s="176" t="s">
        <v>336</v>
      </c>
      <c r="H19" s="176" t="s">
        <v>339</v>
      </c>
      <c r="I19" s="176" t="s">
        <v>342</v>
      </c>
    </row>
    <row r="20" spans="1:13" ht="33">
      <c r="A20" s="555" t="s">
        <v>333</v>
      </c>
      <c r="B20" s="162" t="s">
        <v>386</v>
      </c>
      <c r="C20" s="162" t="s">
        <v>389</v>
      </c>
      <c r="D20" s="162" t="s">
        <v>390</v>
      </c>
      <c r="E20" s="162" t="s">
        <v>391</v>
      </c>
      <c r="F20" s="162" t="s">
        <v>392</v>
      </c>
      <c r="G20" s="162" t="s">
        <v>398</v>
      </c>
      <c r="H20" s="163" t="s">
        <v>400</v>
      </c>
      <c r="I20" s="162" t="s">
        <v>403</v>
      </c>
    </row>
    <row r="21" spans="1:13">
      <c r="A21" s="555"/>
      <c r="B21" s="165" t="s">
        <v>387</v>
      </c>
      <c r="C21" s="165" t="s">
        <v>387</v>
      </c>
      <c r="D21" s="165" t="s">
        <v>387</v>
      </c>
      <c r="E21" s="165" t="s">
        <v>387</v>
      </c>
      <c r="F21" s="165" t="s">
        <v>393</v>
      </c>
      <c r="G21" s="165" t="s">
        <v>387</v>
      </c>
      <c r="H21" s="166" t="s">
        <v>396</v>
      </c>
      <c r="I21" s="165" t="s">
        <v>404</v>
      </c>
    </row>
    <row r="22" spans="1:13" ht="17.25" thickBot="1">
      <c r="A22" s="556"/>
      <c r="B22" s="168" t="s">
        <v>388</v>
      </c>
      <c r="C22" s="168" t="s">
        <v>388</v>
      </c>
      <c r="D22" s="168" t="s">
        <v>388</v>
      </c>
      <c r="E22" s="168" t="s">
        <v>388</v>
      </c>
      <c r="F22" s="168" t="s">
        <v>394</v>
      </c>
      <c r="G22" s="168" t="s">
        <v>394</v>
      </c>
      <c r="H22" s="169" t="s">
        <v>397</v>
      </c>
      <c r="I22" s="168" t="s">
        <v>405</v>
      </c>
    </row>
    <row r="23" spans="1:13" ht="17.25" thickTop="1"/>
  </sheetData>
  <mergeCells count="16">
    <mergeCell ref="A20:A22"/>
    <mergeCell ref="A18:A19"/>
    <mergeCell ref="B18:C18"/>
    <mergeCell ref="D18:E18"/>
    <mergeCell ref="B19:C19"/>
    <mergeCell ref="D19:E19"/>
    <mergeCell ref="A12:A14"/>
    <mergeCell ref="B10:C10"/>
    <mergeCell ref="B11:C11"/>
    <mergeCell ref="D10:E10"/>
    <mergeCell ref="D11:E11"/>
    <mergeCell ref="A1:K1"/>
    <mergeCell ref="A2:K2"/>
    <mergeCell ref="A3:K3"/>
    <mergeCell ref="A4:A5"/>
    <mergeCell ref="A10:A1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1"/>
  <sheetViews>
    <sheetView workbookViewId="0">
      <selection activeCell="F16" sqref="F16"/>
    </sheetView>
  </sheetViews>
  <sheetFormatPr defaultRowHeight="16.5"/>
  <cols>
    <col min="1" max="1" width="5" style="78" customWidth="1"/>
    <col min="2" max="2" width="7.625" style="78" customWidth="1"/>
    <col min="3" max="10" width="11.75" style="145" customWidth="1"/>
    <col min="11" max="13" width="5.75" style="145" customWidth="1"/>
  </cols>
  <sheetData>
    <row r="1" spans="1:13" ht="17.25" thickTop="1">
      <c r="A1" s="461">
        <v>303</v>
      </c>
      <c r="B1" s="462"/>
      <c r="C1" s="145" t="s">
        <v>489</v>
      </c>
      <c r="D1" s="145" t="s">
        <v>490</v>
      </c>
      <c r="E1" s="145" t="s">
        <v>491</v>
      </c>
      <c r="F1" s="145" t="s">
        <v>492</v>
      </c>
      <c r="G1" s="145" t="s">
        <v>493</v>
      </c>
      <c r="H1" s="145" t="s">
        <v>494</v>
      </c>
      <c r="I1" s="145" t="s">
        <v>495</v>
      </c>
      <c r="J1" s="145" t="s">
        <v>496</v>
      </c>
      <c r="K1" s="145" t="s">
        <v>504</v>
      </c>
    </row>
    <row r="2" spans="1:13" s="78" customFormat="1">
      <c r="A2" s="191"/>
      <c r="B2" s="144"/>
      <c r="C2" s="145"/>
      <c r="D2" s="145"/>
      <c r="E2" s="145"/>
      <c r="F2" s="145"/>
      <c r="G2" s="145"/>
      <c r="H2" s="145"/>
      <c r="I2" s="145"/>
      <c r="J2" s="145"/>
      <c r="K2" s="145">
        <v>1</v>
      </c>
      <c r="L2" s="145">
        <v>9</v>
      </c>
      <c r="M2" s="145"/>
    </row>
    <row r="3" spans="1:13">
      <c r="A3" s="40" t="s">
        <v>102</v>
      </c>
      <c r="B3" s="14" t="s">
        <v>0</v>
      </c>
      <c r="K3" s="145">
        <v>2</v>
      </c>
      <c r="L3" s="145">
        <v>13</v>
      </c>
    </row>
    <row r="4" spans="1:13">
      <c r="A4" s="13">
        <v>1</v>
      </c>
      <c r="B4" s="14" t="s">
        <v>3</v>
      </c>
      <c r="K4" s="145">
        <v>3</v>
      </c>
      <c r="L4" s="145">
        <v>5</v>
      </c>
    </row>
    <row r="5" spans="1:13">
      <c r="A5" s="13">
        <v>2</v>
      </c>
      <c r="B5" s="14" t="s">
        <v>6</v>
      </c>
      <c r="J5"/>
      <c r="K5" s="145">
        <v>4</v>
      </c>
      <c r="L5" s="145">
        <v>4</v>
      </c>
    </row>
    <row r="6" spans="1:13">
      <c r="A6" s="13">
        <v>3</v>
      </c>
      <c r="B6" s="14" t="s">
        <v>9</v>
      </c>
      <c r="K6" s="145">
        <v>6</v>
      </c>
      <c r="L6" s="145">
        <v>12</v>
      </c>
    </row>
    <row r="7" spans="1:13">
      <c r="A7" s="13">
        <v>4</v>
      </c>
      <c r="B7" s="14" t="s">
        <v>10</v>
      </c>
      <c r="C7" s="145">
        <v>1</v>
      </c>
      <c r="K7" s="145">
        <v>7</v>
      </c>
      <c r="L7" s="145">
        <v>8</v>
      </c>
    </row>
    <row r="8" spans="1:13">
      <c r="A8" s="13">
        <v>5</v>
      </c>
      <c r="B8" s="14" t="s">
        <v>13</v>
      </c>
      <c r="K8" s="145">
        <v>15</v>
      </c>
      <c r="L8" s="145">
        <v>17</v>
      </c>
    </row>
    <row r="9" spans="1:13">
      <c r="A9" s="13">
        <v>6</v>
      </c>
      <c r="B9" s="14" t="s">
        <v>16</v>
      </c>
      <c r="G9" s="145">
        <v>1</v>
      </c>
      <c r="K9" s="145">
        <v>16</v>
      </c>
      <c r="L9" s="145">
        <v>28</v>
      </c>
      <c r="M9" s="145">
        <v>29</v>
      </c>
    </row>
    <row r="10" spans="1:13">
      <c r="A10" s="13">
        <v>7</v>
      </c>
      <c r="B10" s="27" t="s">
        <v>503</v>
      </c>
      <c r="E10" s="145">
        <v>1</v>
      </c>
      <c r="K10" s="145">
        <v>18</v>
      </c>
      <c r="L10" s="145">
        <v>26</v>
      </c>
    </row>
    <row r="11" spans="1:13">
      <c r="A11" s="13">
        <v>8</v>
      </c>
      <c r="B11" s="14" t="s">
        <v>22</v>
      </c>
      <c r="J11"/>
      <c r="K11" s="145">
        <v>19</v>
      </c>
      <c r="L11" s="145">
        <v>20</v>
      </c>
    </row>
    <row r="12" spans="1:13">
      <c r="A12" s="13">
        <v>9</v>
      </c>
      <c r="B12" s="14" t="s">
        <v>25</v>
      </c>
      <c r="I12" s="145">
        <v>1</v>
      </c>
      <c r="K12" s="145">
        <v>21</v>
      </c>
      <c r="L12" s="145">
        <v>27</v>
      </c>
    </row>
    <row r="13" spans="1:13">
      <c r="A13" s="13">
        <v>12</v>
      </c>
      <c r="B13" s="14" t="s">
        <v>30</v>
      </c>
      <c r="G13" s="145">
        <v>1</v>
      </c>
      <c r="K13" s="145">
        <v>22</v>
      </c>
      <c r="L13" s="145">
        <v>25</v>
      </c>
    </row>
    <row r="14" spans="1:13">
      <c r="A14" s="13">
        <v>13</v>
      </c>
      <c r="B14" s="14" t="s">
        <v>33</v>
      </c>
      <c r="K14" s="145">
        <v>23</v>
      </c>
      <c r="L14" s="145">
        <v>24</v>
      </c>
    </row>
    <row r="15" spans="1:13">
      <c r="A15" s="13">
        <v>14</v>
      </c>
      <c r="B15" s="14" t="s">
        <v>36</v>
      </c>
      <c r="C15" s="145">
        <v>1</v>
      </c>
    </row>
    <row r="16" spans="1:13">
      <c r="A16" s="13">
        <v>15</v>
      </c>
      <c r="B16" s="14" t="s">
        <v>39</v>
      </c>
      <c r="H16" s="145">
        <v>1</v>
      </c>
    </row>
    <row r="17" spans="1:11">
      <c r="A17" s="13">
        <v>16</v>
      </c>
      <c r="B17" s="14" t="s">
        <v>42</v>
      </c>
      <c r="J17" s="145">
        <v>1</v>
      </c>
    </row>
    <row r="18" spans="1:11">
      <c r="A18" s="13">
        <v>17</v>
      </c>
      <c r="B18" s="14" t="s">
        <v>45</v>
      </c>
      <c r="H18" s="145">
        <v>1</v>
      </c>
    </row>
    <row r="19" spans="1:11">
      <c r="A19" s="13">
        <v>18</v>
      </c>
      <c r="B19" s="14" t="s">
        <v>48</v>
      </c>
    </row>
    <row r="20" spans="1:11">
      <c r="A20" s="13">
        <v>19</v>
      </c>
      <c r="B20" s="14" t="s">
        <v>51</v>
      </c>
    </row>
    <row r="21" spans="1:11">
      <c r="A21" s="13">
        <v>20</v>
      </c>
      <c r="B21" s="14" t="s">
        <v>54</v>
      </c>
    </row>
    <row r="22" spans="1:11">
      <c r="A22" s="13">
        <v>21</v>
      </c>
      <c r="B22" s="14" t="s">
        <v>57</v>
      </c>
      <c r="J22" s="145">
        <v>1</v>
      </c>
    </row>
    <row r="23" spans="1:11">
      <c r="A23" s="13">
        <v>22</v>
      </c>
      <c r="B23" s="14" t="s">
        <v>60</v>
      </c>
      <c r="F23" s="145">
        <v>1</v>
      </c>
    </row>
    <row r="24" spans="1:11">
      <c r="A24" s="13">
        <v>23</v>
      </c>
      <c r="B24" s="14" t="s">
        <v>63</v>
      </c>
      <c r="I24" s="145">
        <v>1</v>
      </c>
    </row>
    <row r="25" spans="1:11">
      <c r="A25" s="13">
        <v>24</v>
      </c>
      <c r="B25" s="27" t="s">
        <v>501</v>
      </c>
      <c r="D25" s="145">
        <v>1</v>
      </c>
    </row>
    <row r="26" spans="1:11">
      <c r="A26" s="13">
        <v>25</v>
      </c>
      <c r="B26" s="14" t="s">
        <v>69</v>
      </c>
      <c r="D26" s="145">
        <v>1</v>
      </c>
    </row>
    <row r="27" spans="1:11">
      <c r="A27" s="13">
        <v>26</v>
      </c>
      <c r="B27" s="27" t="s">
        <v>502</v>
      </c>
      <c r="E27" s="145">
        <v>1</v>
      </c>
    </row>
    <row r="28" spans="1:11">
      <c r="A28" s="13">
        <v>27</v>
      </c>
      <c r="B28" s="14" t="s">
        <v>75</v>
      </c>
    </row>
    <row r="29" spans="1:11">
      <c r="A29" s="13">
        <v>28</v>
      </c>
      <c r="B29" s="14" t="s">
        <v>78</v>
      </c>
      <c r="F29" s="192">
        <v>1</v>
      </c>
    </row>
    <row r="30" spans="1:11" ht="17.25" thickBot="1">
      <c r="A30" s="17">
        <v>29</v>
      </c>
      <c r="B30" s="18" t="s">
        <v>81</v>
      </c>
    </row>
    <row r="31" spans="1:11" ht="17.25" thickTop="1">
      <c r="C31" s="145">
        <f>SUM(C4:C30)</f>
        <v>2</v>
      </c>
      <c r="D31" s="145">
        <f t="shared" ref="D31:J31" si="0">SUM(D4:D30)</f>
        <v>2</v>
      </c>
      <c r="E31" s="145">
        <f t="shared" si="0"/>
        <v>2</v>
      </c>
      <c r="F31" s="145">
        <f t="shared" si="0"/>
        <v>2</v>
      </c>
      <c r="G31" s="145">
        <f t="shared" si="0"/>
        <v>2</v>
      </c>
      <c r="H31" s="145">
        <f t="shared" si="0"/>
        <v>2</v>
      </c>
      <c r="I31" s="145">
        <f t="shared" si="0"/>
        <v>2</v>
      </c>
      <c r="J31" s="145">
        <f t="shared" si="0"/>
        <v>2</v>
      </c>
      <c r="K31" s="145">
        <f>SUM(C31:J31)</f>
        <v>16</v>
      </c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zoomScale="130" zoomScaleNormal="130" workbookViewId="0">
      <selection activeCell="C8" sqref="C8"/>
    </sheetView>
  </sheetViews>
  <sheetFormatPr defaultRowHeight="16.5"/>
  <cols>
    <col min="1" max="6" width="15.625" style="57" customWidth="1"/>
    <col min="7" max="16384" width="9" style="10"/>
  </cols>
  <sheetData>
    <row r="1" spans="1:6" ht="28.5" customHeight="1" thickTop="1" thickBot="1">
      <c r="A1" s="447" t="s">
        <v>1024</v>
      </c>
      <c r="B1" s="448"/>
      <c r="C1" s="448"/>
      <c r="D1" s="448"/>
      <c r="E1" s="448"/>
      <c r="F1" s="449"/>
    </row>
    <row r="2" spans="1:6" ht="30.75" customHeight="1" thickTop="1">
      <c r="A2" s="452" t="s">
        <v>151</v>
      </c>
      <c r="B2" s="453"/>
      <c r="C2" s="452" t="s">
        <v>150</v>
      </c>
      <c r="D2" s="453"/>
      <c r="E2" s="452" t="s">
        <v>194</v>
      </c>
      <c r="F2" s="453"/>
    </row>
    <row r="3" spans="1:6" ht="30.75" customHeight="1">
      <c r="A3" s="409">
        <v>11</v>
      </c>
      <c r="B3" s="410">
        <v>19</v>
      </c>
      <c r="C3" s="409">
        <v>5</v>
      </c>
      <c r="D3" s="417">
        <v>15</v>
      </c>
      <c r="E3" s="409">
        <v>6</v>
      </c>
      <c r="F3" s="410">
        <v>26</v>
      </c>
    </row>
    <row r="4" spans="1:6" ht="30.75" customHeight="1">
      <c r="A4" s="409" t="s">
        <v>643</v>
      </c>
      <c r="B4" s="410" t="s">
        <v>651</v>
      </c>
      <c r="C4" s="409" t="s">
        <v>637</v>
      </c>
      <c r="D4" s="417" t="s">
        <v>647</v>
      </c>
      <c r="E4" s="409" t="s">
        <v>638</v>
      </c>
      <c r="F4" s="410" t="s">
        <v>658</v>
      </c>
    </row>
    <row r="5" spans="1:6" ht="30.75" customHeight="1">
      <c r="A5" s="419">
        <v>16</v>
      </c>
      <c r="B5" s="404">
        <v>7</v>
      </c>
      <c r="C5" s="409">
        <v>20</v>
      </c>
      <c r="D5" s="410">
        <v>12</v>
      </c>
      <c r="E5" s="409">
        <v>18</v>
      </c>
      <c r="F5" s="417">
        <v>14</v>
      </c>
    </row>
    <row r="6" spans="1:6" ht="30.75" customHeight="1" thickBot="1">
      <c r="A6" s="420" t="s">
        <v>648</v>
      </c>
      <c r="B6" s="406" t="s">
        <v>639</v>
      </c>
      <c r="C6" s="411" t="s">
        <v>652</v>
      </c>
      <c r="D6" s="412" t="s">
        <v>644</v>
      </c>
      <c r="E6" s="411" t="s">
        <v>650</v>
      </c>
      <c r="F6" s="418" t="s">
        <v>646</v>
      </c>
    </row>
    <row r="7" spans="1:6" ht="30.75" customHeight="1" thickTop="1">
      <c r="A7" s="452" t="s">
        <v>196</v>
      </c>
      <c r="B7" s="453"/>
      <c r="C7" s="452" t="s">
        <v>195</v>
      </c>
      <c r="D7" s="453"/>
      <c r="E7" s="452" t="s">
        <v>1025</v>
      </c>
      <c r="F7" s="453"/>
    </row>
    <row r="8" spans="1:6" ht="30.75" customHeight="1">
      <c r="A8" s="409">
        <v>2</v>
      </c>
      <c r="B8" s="410">
        <v>22</v>
      </c>
      <c r="C8" s="409">
        <v>8</v>
      </c>
      <c r="D8" s="417">
        <v>23</v>
      </c>
      <c r="E8" s="409">
        <v>3</v>
      </c>
      <c r="F8" s="410">
        <v>24</v>
      </c>
    </row>
    <row r="9" spans="1:6" ht="30.75" customHeight="1">
      <c r="A9" s="409" t="s">
        <v>634</v>
      </c>
      <c r="B9" s="410" t="s">
        <v>654</v>
      </c>
      <c r="C9" s="409" t="s">
        <v>640</v>
      </c>
      <c r="D9" s="417" t="s">
        <v>655</v>
      </c>
      <c r="E9" s="409" t="s">
        <v>635</v>
      </c>
      <c r="F9" s="410" t="s">
        <v>656</v>
      </c>
    </row>
    <row r="10" spans="1:6" ht="30.75" customHeight="1">
      <c r="A10" s="419">
        <v>25</v>
      </c>
      <c r="B10" s="410">
        <v>10</v>
      </c>
      <c r="C10" s="403">
        <v>21</v>
      </c>
      <c r="D10" s="404">
        <v>13</v>
      </c>
      <c r="E10" s="419">
        <v>17</v>
      </c>
      <c r="F10" s="410">
        <v>1</v>
      </c>
    </row>
    <row r="11" spans="1:6" ht="30.75" customHeight="1" thickBot="1">
      <c r="A11" s="420" t="s">
        <v>657</v>
      </c>
      <c r="B11" s="412" t="s">
        <v>642</v>
      </c>
      <c r="C11" s="403" t="s">
        <v>653</v>
      </c>
      <c r="D11" s="404" t="s">
        <v>645</v>
      </c>
      <c r="E11" s="420" t="s">
        <v>649</v>
      </c>
      <c r="F11" s="412" t="s">
        <v>633</v>
      </c>
    </row>
    <row r="12" spans="1:6" ht="30.75" customHeight="1" thickTop="1">
      <c r="A12" s="414"/>
      <c r="B12" s="415"/>
      <c r="C12" s="403">
        <v>4</v>
      </c>
      <c r="D12" s="404">
        <v>9</v>
      </c>
      <c r="E12" s="414"/>
      <c r="F12" s="416"/>
    </row>
    <row r="13" spans="1:6" ht="30.75" customHeight="1" thickBot="1">
      <c r="A13" s="411"/>
      <c r="B13" s="413"/>
      <c r="C13" s="405" t="s">
        <v>636</v>
      </c>
      <c r="D13" s="406" t="s">
        <v>641</v>
      </c>
      <c r="E13" s="411"/>
      <c r="F13" s="412"/>
    </row>
    <row r="14" spans="1:6" s="145" customFormat="1" ht="30.75" customHeight="1" thickTop="1" thickBot="1">
      <c r="A14" s="338"/>
      <c r="B14" s="332"/>
      <c r="C14" s="332"/>
      <c r="D14" s="332"/>
      <c r="E14" s="332"/>
      <c r="F14" s="339"/>
    </row>
    <row r="15" spans="1:6" ht="30.75" customHeight="1" thickTop="1">
      <c r="A15" s="414"/>
      <c r="B15" s="415"/>
      <c r="C15" s="407">
        <v>9</v>
      </c>
      <c r="D15" s="408">
        <v>4</v>
      </c>
      <c r="E15" s="414"/>
      <c r="F15" s="416"/>
    </row>
    <row r="16" spans="1:6" ht="30.75" customHeight="1" thickBot="1">
      <c r="A16" s="411"/>
      <c r="B16" s="413"/>
      <c r="C16" s="403" t="str">
        <f>VLOOKUP(C15,紀錄表!$A$3:$B$28,2,0)</f>
        <v>吳承哲</v>
      </c>
      <c r="D16" s="404" t="str">
        <f>VLOOKUP(D15,紀錄表!$A$3:$B$28,2,0)</f>
        <v>李奎煜</v>
      </c>
      <c r="E16" s="411"/>
      <c r="F16" s="412"/>
    </row>
    <row r="17" spans="1:6" ht="30.75" customHeight="1" thickTop="1">
      <c r="A17" s="414">
        <v>1</v>
      </c>
      <c r="B17" s="423">
        <v>17</v>
      </c>
      <c r="C17" s="403">
        <v>13</v>
      </c>
      <c r="D17" s="404">
        <v>21</v>
      </c>
      <c r="E17" s="414">
        <v>10</v>
      </c>
      <c r="F17" s="423">
        <v>25</v>
      </c>
    </row>
    <row r="18" spans="1:6" ht="30.75" customHeight="1">
      <c r="A18" s="409" t="str">
        <f>VLOOKUP(A17,紀錄表!$A$3:$B$28,2,0)</f>
        <v>陳威劭</v>
      </c>
      <c r="B18" s="424" t="str">
        <f>VLOOKUP(B17,紀錄表!$A$3:$B$28,2,0)</f>
        <v>張智函</v>
      </c>
      <c r="C18" s="403" t="str">
        <f>VLOOKUP(C17,紀錄表!$A$3:$B$28,2,0)</f>
        <v>林季曄</v>
      </c>
      <c r="D18" s="404" t="str">
        <f>VLOOKUP(D17,紀錄表!$A$3:$B$28,2,0)</f>
        <v>楊筱歆</v>
      </c>
      <c r="E18" s="409" t="str">
        <f>VLOOKUP(E17,紀錄表!$A$3:$B$28,2,0)</f>
        <v>李宥霆</v>
      </c>
      <c r="F18" s="424" t="str">
        <f>VLOOKUP(F17,紀錄表!$A$3:$B$28,2,0)</f>
        <v>林昱萱</v>
      </c>
    </row>
    <row r="19" spans="1:6" ht="30.75" customHeight="1">
      <c r="A19" s="409">
        <v>24</v>
      </c>
      <c r="B19" s="410">
        <v>3</v>
      </c>
      <c r="C19" s="422">
        <v>23</v>
      </c>
      <c r="D19" s="410">
        <v>8</v>
      </c>
      <c r="E19" s="409">
        <v>22</v>
      </c>
      <c r="F19" s="410">
        <v>2</v>
      </c>
    </row>
    <row r="20" spans="1:6" ht="30.75" customHeight="1">
      <c r="A20" s="409" t="str">
        <f>VLOOKUP(A19,紀錄表!$A$3:$B$28,2,0)</f>
        <v>王姿涵</v>
      </c>
      <c r="B20" s="410" t="str">
        <f>VLOOKUP(B19,紀錄表!$A$3:$B$28,2,0)</f>
        <v>林昱任</v>
      </c>
      <c r="C20" s="422" t="str">
        <f>VLOOKUP(C19,紀錄表!$A$3:$B$28,2,0)</f>
        <v>張涵甯</v>
      </c>
      <c r="D20" s="410" t="str">
        <f>VLOOKUP(D19,紀錄表!$A$3:$B$28,2,0)</f>
        <v>洪楷珅</v>
      </c>
      <c r="E20" s="409" t="str">
        <f>VLOOKUP(E19,紀錄表!$A$3:$B$28,2,0)</f>
        <v>邱詩涵</v>
      </c>
      <c r="F20" s="410" t="str">
        <f>VLOOKUP(F19,紀錄表!$A$3:$B$28,2,0)</f>
        <v>周宗慶</v>
      </c>
    </row>
    <row r="21" spans="1:6" ht="30.75" customHeight="1" thickBot="1">
      <c r="A21" s="450" t="s">
        <v>879</v>
      </c>
      <c r="B21" s="451"/>
      <c r="C21" s="450" t="s">
        <v>880</v>
      </c>
      <c r="D21" s="451"/>
      <c r="E21" s="450" t="s">
        <v>881</v>
      </c>
      <c r="F21" s="451"/>
    </row>
    <row r="22" spans="1:6" ht="30.75" customHeight="1" thickTop="1">
      <c r="A22" s="421">
        <v>14</v>
      </c>
      <c r="B22" s="416">
        <v>18</v>
      </c>
      <c r="C22" s="414">
        <v>12</v>
      </c>
      <c r="D22" s="416">
        <v>20</v>
      </c>
      <c r="E22" s="407">
        <v>7</v>
      </c>
      <c r="F22" s="423">
        <v>16</v>
      </c>
    </row>
    <row r="23" spans="1:6" ht="30.75" customHeight="1">
      <c r="A23" s="422" t="str">
        <f>VLOOKUP(A22,紀錄表!$A$3:$B$28,2,0)</f>
        <v>高翊庭</v>
      </c>
      <c r="B23" s="410" t="str">
        <f>VLOOKUP(B22,紀錄表!$A$3:$B$28,2,0)</f>
        <v>許凌菲</v>
      </c>
      <c r="C23" s="409" t="str">
        <f>VLOOKUP(C22,紀錄表!$A$3:$B$28,2,0)</f>
        <v>魏宇謙</v>
      </c>
      <c r="D23" s="410" t="str">
        <f>VLOOKUP(D22,紀錄表!$A$3:$B$28,2,0)</f>
        <v>蔡羽媗</v>
      </c>
      <c r="E23" s="403" t="str">
        <f>VLOOKUP(E22,紀錄表!$A$3:$B$28,2,0)</f>
        <v>葉彥均</v>
      </c>
      <c r="F23" s="424" t="str">
        <f>VLOOKUP(F22,紀錄表!$A$3:$B$28,2,0)</f>
        <v>曾琛晞</v>
      </c>
    </row>
    <row r="24" spans="1:6" ht="30.75" customHeight="1">
      <c r="A24" s="409">
        <v>26</v>
      </c>
      <c r="B24" s="410">
        <v>6</v>
      </c>
      <c r="C24" s="422">
        <v>15</v>
      </c>
      <c r="D24" s="410">
        <v>5</v>
      </c>
      <c r="E24" s="409">
        <v>19</v>
      </c>
      <c r="F24" s="410">
        <v>11</v>
      </c>
    </row>
    <row r="25" spans="1:6" ht="30.75" customHeight="1">
      <c r="A25" s="409" t="str">
        <f>VLOOKUP(A24,紀錄表!$A$3:$B$28,2,0)</f>
        <v>李文</v>
      </c>
      <c r="B25" s="410" t="str">
        <f>VLOOKUP(B24,紀錄表!$A$3:$B$28,2,0)</f>
        <v>王奕勳</v>
      </c>
      <c r="C25" s="422" t="str">
        <f>VLOOKUP(C24,紀錄表!$A$3:$B$28,2,0)</f>
        <v>藍彩華</v>
      </c>
      <c r="D25" s="410" t="str">
        <f>VLOOKUP(D24,紀錄表!$A$3:$B$28,2,0)</f>
        <v>葉翃均</v>
      </c>
      <c r="E25" s="409" t="str">
        <f>VLOOKUP(E24,紀錄表!$A$3:$B$28,2,0)</f>
        <v>吳羽棠</v>
      </c>
      <c r="F25" s="410" t="str">
        <f>VLOOKUP(F24,紀錄表!$A$3:$B$28,2,0)</f>
        <v>柯皓哲</v>
      </c>
    </row>
    <row r="26" spans="1:6" ht="30.75" customHeight="1" thickBot="1">
      <c r="A26" s="450" t="s">
        <v>877</v>
      </c>
      <c r="B26" s="451"/>
      <c r="C26" s="450" t="s">
        <v>150</v>
      </c>
      <c r="D26" s="451"/>
      <c r="E26" s="450" t="s">
        <v>878</v>
      </c>
      <c r="F26" s="451"/>
    </row>
    <row r="27" spans="1:6" ht="28.5" customHeight="1" thickTop="1" thickBot="1">
      <c r="A27" s="447" t="s">
        <v>197</v>
      </c>
      <c r="B27" s="448"/>
      <c r="C27" s="448"/>
      <c r="D27" s="448"/>
      <c r="E27" s="448"/>
      <c r="F27" s="449"/>
    </row>
    <row r="28" spans="1:6" ht="17.25" thickTop="1"/>
  </sheetData>
  <mergeCells count="14">
    <mergeCell ref="A1:F1"/>
    <mergeCell ref="A2:B2"/>
    <mergeCell ref="C2:D2"/>
    <mergeCell ref="E2:F2"/>
    <mergeCell ref="E7:F7"/>
    <mergeCell ref="C7:D7"/>
    <mergeCell ref="A7:B7"/>
    <mergeCell ref="A27:F27"/>
    <mergeCell ref="E26:F26"/>
    <mergeCell ref="C26:D26"/>
    <mergeCell ref="A26:B26"/>
    <mergeCell ref="E21:F21"/>
    <mergeCell ref="C21:D21"/>
    <mergeCell ref="A21:B21"/>
  </mergeCells>
  <phoneticPr fontId="2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B37"/>
  <sheetViews>
    <sheetView workbookViewId="0">
      <selection activeCell="G13" sqref="G13"/>
    </sheetView>
  </sheetViews>
  <sheetFormatPr defaultRowHeight="16.5"/>
  <cols>
    <col min="1" max="1" width="5" style="78" customWidth="1"/>
    <col min="2" max="2" width="7.625" style="78" customWidth="1"/>
    <col min="3" max="28" width="4.75" style="78" customWidth="1"/>
    <col min="29" max="16384" width="9" style="78"/>
  </cols>
  <sheetData>
    <row r="1" spans="1:28" ht="17.25" thickTop="1">
      <c r="A1" s="461">
        <v>403</v>
      </c>
      <c r="B1" s="462"/>
      <c r="C1" s="4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</row>
    <row r="2" spans="1:28" ht="19.5" customHeight="1">
      <c r="A2" s="40" t="s">
        <v>102</v>
      </c>
      <c r="B2" s="14" t="s">
        <v>0</v>
      </c>
      <c r="C2" s="27" t="s">
        <v>487</v>
      </c>
      <c r="D2" s="14"/>
      <c r="E2" s="27" t="s">
        <v>488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  <c r="S2" s="15"/>
      <c r="T2" s="15"/>
      <c r="U2" s="15"/>
      <c r="V2" s="15"/>
      <c r="W2" s="15"/>
      <c r="X2" s="15"/>
      <c r="Y2" s="15"/>
      <c r="Z2" s="15"/>
      <c r="AA2" s="15"/>
      <c r="AB2" s="16"/>
    </row>
    <row r="3" spans="1:28" ht="19.5" customHeight="1">
      <c r="A3" s="13">
        <v>1</v>
      </c>
      <c r="B3" s="14" t="s">
        <v>3</v>
      </c>
      <c r="C3" s="14">
        <v>48</v>
      </c>
      <c r="D3" s="14">
        <v>111</v>
      </c>
      <c r="E3" s="14">
        <v>77</v>
      </c>
      <c r="F3" s="14" t="s">
        <v>474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S3" s="15"/>
      <c r="T3" s="15"/>
      <c r="U3" s="15"/>
      <c r="V3" s="15"/>
      <c r="W3" s="15"/>
      <c r="X3" s="15"/>
      <c r="Y3" s="15"/>
      <c r="Z3" s="15"/>
      <c r="AA3" s="15"/>
      <c r="AB3" s="16"/>
    </row>
    <row r="4" spans="1:28" ht="19.5" customHeight="1">
      <c r="A4" s="13">
        <v>2</v>
      </c>
      <c r="B4" s="14" t="s">
        <v>6</v>
      </c>
      <c r="C4" s="14">
        <v>51</v>
      </c>
      <c r="D4" s="14">
        <v>120</v>
      </c>
      <c r="E4" s="14">
        <v>91</v>
      </c>
      <c r="F4" s="14" t="s">
        <v>475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</row>
    <row r="5" spans="1:28" ht="19.5" customHeight="1">
      <c r="A5" s="13">
        <v>3</v>
      </c>
      <c r="B5" s="190" t="s">
        <v>9</v>
      </c>
      <c r="C5" s="14">
        <v>36</v>
      </c>
      <c r="D5" s="14">
        <v>85</v>
      </c>
      <c r="E5" s="14">
        <v>16</v>
      </c>
      <c r="F5" s="14" t="s">
        <v>476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 ht="19.5" customHeight="1">
      <c r="A6" s="13">
        <v>4</v>
      </c>
      <c r="B6" s="190" t="s">
        <v>10</v>
      </c>
      <c r="C6" s="14">
        <v>51</v>
      </c>
      <c r="D6" s="14">
        <v>120</v>
      </c>
      <c r="E6" s="14">
        <v>91</v>
      </c>
      <c r="F6" s="14" t="s">
        <v>475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6"/>
    </row>
    <row r="7" spans="1:28" ht="19.5" customHeight="1">
      <c r="A7" s="13">
        <v>5</v>
      </c>
      <c r="B7" s="14" t="s">
        <v>13</v>
      </c>
      <c r="C7" s="14">
        <v>44</v>
      </c>
      <c r="D7" s="14">
        <v>101</v>
      </c>
      <c r="E7" s="14">
        <v>53</v>
      </c>
      <c r="F7" s="14" t="s">
        <v>478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</row>
    <row r="8" spans="1:28" ht="19.5" customHeight="1">
      <c r="A8" s="13">
        <v>6</v>
      </c>
      <c r="B8" s="190" t="s">
        <v>16</v>
      </c>
      <c r="C8" s="14">
        <v>53</v>
      </c>
      <c r="D8" s="14">
        <v>126</v>
      </c>
      <c r="E8" s="14">
        <v>96</v>
      </c>
      <c r="F8" s="14" t="s">
        <v>480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28" ht="19.5" customHeight="1">
      <c r="A9" s="13">
        <v>7</v>
      </c>
      <c r="B9" s="190" t="s">
        <v>19</v>
      </c>
      <c r="C9" s="14">
        <v>37</v>
      </c>
      <c r="D9" s="14">
        <v>90</v>
      </c>
      <c r="E9" s="14">
        <v>25</v>
      </c>
      <c r="F9" s="14" t="s">
        <v>482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1:28" ht="19.5" customHeight="1">
      <c r="A10" s="13">
        <v>8</v>
      </c>
      <c r="B10" s="14" t="s">
        <v>22</v>
      </c>
      <c r="C10" s="14">
        <v>44</v>
      </c>
      <c r="D10" s="14">
        <v>101</v>
      </c>
      <c r="E10" s="14">
        <v>53</v>
      </c>
      <c r="F10" s="14" t="s">
        <v>478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</row>
    <row r="11" spans="1:28" ht="19.5" customHeight="1">
      <c r="A11" s="13">
        <v>9</v>
      </c>
      <c r="B11" s="14" t="s">
        <v>25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28" ht="19.5" customHeight="1">
      <c r="A12" s="13">
        <v>12</v>
      </c>
      <c r="B12" s="14" t="s">
        <v>30</v>
      </c>
      <c r="C12" s="14">
        <v>25</v>
      </c>
      <c r="D12" s="14">
        <v>74</v>
      </c>
      <c r="E12" s="14">
        <v>4</v>
      </c>
      <c r="F12" s="14" t="s">
        <v>483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1:28" ht="19.5" customHeight="1">
      <c r="A13" s="13">
        <v>13</v>
      </c>
      <c r="B13" s="14" t="s">
        <v>33</v>
      </c>
      <c r="C13" s="14">
        <v>40</v>
      </c>
      <c r="D13" s="14">
        <v>98</v>
      </c>
      <c r="E13" s="14">
        <v>45</v>
      </c>
      <c r="F13" s="14" t="s">
        <v>482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1:28" ht="19.5" customHeight="1">
      <c r="A14" s="13">
        <v>14</v>
      </c>
      <c r="B14" s="14" t="s">
        <v>36</v>
      </c>
      <c r="C14" s="14">
        <v>33</v>
      </c>
      <c r="D14" s="14">
        <v>87</v>
      </c>
      <c r="E14" s="14">
        <v>19</v>
      </c>
      <c r="F14" s="14" t="s">
        <v>476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/>
    </row>
    <row r="15" spans="1:28" ht="19.5" customHeight="1">
      <c r="A15" s="13">
        <v>15</v>
      </c>
      <c r="B15" s="14" t="s">
        <v>39</v>
      </c>
      <c r="C15" s="14">
        <v>39</v>
      </c>
      <c r="D15" s="14">
        <v>91</v>
      </c>
      <c r="E15" s="14">
        <v>27</v>
      </c>
      <c r="F15" s="14" t="s">
        <v>482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28" ht="19.5" customHeight="1">
      <c r="A16" s="13">
        <v>16</v>
      </c>
      <c r="B16" s="190" t="s">
        <v>42</v>
      </c>
      <c r="C16" s="14">
        <v>43</v>
      </c>
      <c r="D16" s="14">
        <v>99</v>
      </c>
      <c r="E16" s="14">
        <v>47</v>
      </c>
      <c r="F16" s="14" t="s">
        <v>482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/>
    </row>
    <row r="17" spans="1:28" ht="19.5" customHeight="1">
      <c r="A17" s="13">
        <v>17</v>
      </c>
      <c r="B17" s="14" t="s">
        <v>45</v>
      </c>
      <c r="C17" s="14">
        <v>47</v>
      </c>
      <c r="D17" s="14">
        <v>108</v>
      </c>
      <c r="E17" s="14">
        <v>70</v>
      </c>
      <c r="F17" s="14" t="s">
        <v>478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</row>
    <row r="18" spans="1:28" ht="19.5" customHeight="1">
      <c r="A18" s="13">
        <v>18</v>
      </c>
      <c r="B18" s="14" t="s">
        <v>48</v>
      </c>
      <c r="C18" s="14">
        <v>42</v>
      </c>
      <c r="D18" s="14">
        <v>97</v>
      </c>
      <c r="E18" s="14">
        <v>42</v>
      </c>
      <c r="F18" s="14" t="s">
        <v>482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ht="19.5" customHeight="1">
      <c r="A19" s="13">
        <v>19</v>
      </c>
      <c r="B19" s="14" t="s">
        <v>51</v>
      </c>
      <c r="C19" s="14">
        <v>47</v>
      </c>
      <c r="D19" s="14">
        <v>108</v>
      </c>
      <c r="E19" s="14">
        <v>70</v>
      </c>
      <c r="F19" s="14" t="s">
        <v>478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ht="19.5" customHeight="1">
      <c r="A20" s="13">
        <v>20</v>
      </c>
      <c r="B20" s="14" t="s">
        <v>54</v>
      </c>
      <c r="C20" s="14">
        <v>40</v>
      </c>
      <c r="D20" s="14">
        <v>93</v>
      </c>
      <c r="E20" s="14">
        <v>32</v>
      </c>
      <c r="F20" s="14" t="s">
        <v>482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ht="19.5" customHeight="1">
      <c r="A21" s="13">
        <v>21</v>
      </c>
      <c r="B21" s="14" t="s">
        <v>57</v>
      </c>
      <c r="C21" s="14">
        <v>37</v>
      </c>
      <c r="D21" s="14">
        <v>90</v>
      </c>
      <c r="E21" s="14">
        <v>25</v>
      </c>
      <c r="F21" s="14" t="s">
        <v>482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1:28" ht="19.5" customHeight="1">
      <c r="A22" s="13">
        <v>22</v>
      </c>
      <c r="B22" s="190" t="s">
        <v>60</v>
      </c>
      <c r="C22" s="14">
        <v>41</v>
      </c>
      <c r="D22" s="14">
        <v>98</v>
      </c>
      <c r="E22" s="14">
        <v>45</v>
      </c>
      <c r="F22" s="14" t="s">
        <v>482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1:28" ht="19.5" customHeight="1">
      <c r="A23" s="13">
        <v>23</v>
      </c>
      <c r="B23" s="14" t="s">
        <v>63</v>
      </c>
      <c r="C23" s="14">
        <v>41</v>
      </c>
      <c r="D23" s="14">
        <v>98</v>
      </c>
      <c r="E23" s="14">
        <v>45</v>
      </c>
      <c r="F23" s="14" t="s">
        <v>481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</row>
    <row r="24" spans="1:28" ht="19.5" customHeight="1">
      <c r="A24" s="13">
        <v>24</v>
      </c>
      <c r="B24" s="190" t="s">
        <v>66</v>
      </c>
      <c r="C24" s="14">
        <v>37</v>
      </c>
      <c r="D24" s="14">
        <v>90</v>
      </c>
      <c r="E24" s="14">
        <v>25</v>
      </c>
      <c r="F24" s="14" t="s">
        <v>481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19.5" customHeight="1">
      <c r="A25" s="13">
        <v>25</v>
      </c>
      <c r="B25" s="190" t="s">
        <v>69</v>
      </c>
      <c r="C25" s="14">
        <v>43</v>
      </c>
      <c r="D25" s="14">
        <v>102</v>
      </c>
      <c r="E25" s="14">
        <v>55</v>
      </c>
      <c r="F25" s="14" t="s">
        <v>477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19.5" customHeight="1">
      <c r="A26" s="13">
        <v>26</v>
      </c>
      <c r="B26" s="14" t="s">
        <v>72</v>
      </c>
      <c r="C26" s="14">
        <v>51</v>
      </c>
      <c r="D26" s="14">
        <v>125</v>
      </c>
      <c r="E26" s="14">
        <v>95</v>
      </c>
      <c r="F26" s="14" t="s">
        <v>479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</row>
    <row r="27" spans="1:28" ht="19.5" customHeight="1">
      <c r="A27" s="13">
        <v>27</v>
      </c>
      <c r="B27" s="14" t="s">
        <v>75</v>
      </c>
      <c r="C27" s="14">
        <v>34</v>
      </c>
      <c r="D27" s="14">
        <v>85</v>
      </c>
      <c r="E27" s="14">
        <v>16</v>
      </c>
      <c r="F27" s="14" t="s">
        <v>476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19.5" customHeight="1">
      <c r="A28" s="13">
        <v>28</v>
      </c>
      <c r="B28" s="14" t="s">
        <v>78</v>
      </c>
      <c r="C28" s="14">
        <v>41</v>
      </c>
      <c r="D28" s="14">
        <v>100</v>
      </c>
      <c r="E28" s="14">
        <v>50</v>
      </c>
      <c r="F28" s="14" t="s">
        <v>484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</row>
    <row r="29" spans="1:28" ht="19.5" customHeight="1" thickBot="1">
      <c r="A29" s="17">
        <v>29</v>
      </c>
      <c r="B29" s="18" t="s">
        <v>81</v>
      </c>
      <c r="C29" s="18">
        <v>40</v>
      </c>
      <c r="D29" s="18">
        <v>98</v>
      </c>
      <c r="E29" s="18">
        <v>45</v>
      </c>
      <c r="F29" s="18" t="s">
        <v>482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20"/>
    </row>
    <row r="30" spans="1:28" ht="17.25" thickTop="1">
      <c r="B30" s="61" t="s">
        <v>214</v>
      </c>
      <c r="C30" s="60">
        <f>AVERAGE(C3:C29)</f>
        <v>41.730769230769234</v>
      </c>
      <c r="D30" s="60">
        <f>AVERAGE(D3:D25)</f>
        <v>99.409090909090907</v>
      </c>
    </row>
    <row r="31" spans="1:28">
      <c r="B31" s="59">
        <v>100</v>
      </c>
      <c r="C31" s="59">
        <f>COUNTIF(C$4:C$30,"=100")</f>
        <v>0</v>
      </c>
      <c r="D31" s="59">
        <f>COUNTIF(D$4:D$30,"=100")</f>
        <v>1</v>
      </c>
    </row>
    <row r="32" spans="1:28">
      <c r="B32" s="59">
        <v>90</v>
      </c>
      <c r="C32" s="59">
        <f>COUNTIF(C$4:C$30,"&gt;89")-C31</f>
        <v>0</v>
      </c>
      <c r="D32" s="59">
        <f>COUNTIF(D$4:D$30,"&gt;89")-D31</f>
        <v>21</v>
      </c>
    </row>
    <row r="33" spans="2:4">
      <c r="B33" s="59">
        <v>80</v>
      </c>
      <c r="C33" s="59">
        <f>COUNTIF(C$4:C$30,"&gt;79")-C32-C31</f>
        <v>0</v>
      </c>
      <c r="D33" s="59">
        <f>COUNTIF(D$4:D$30,"&gt;79")-D32-D31</f>
        <v>3</v>
      </c>
    </row>
    <row r="34" spans="2:4">
      <c r="B34" s="59">
        <v>70</v>
      </c>
      <c r="C34" s="59">
        <f>COUNTIF(C$4:C$30,"&gt;69")-C33-C32-C31</f>
        <v>0</v>
      </c>
      <c r="D34" s="59">
        <f>COUNTIF(D$4:D$30,"&gt;69")-D33-D32-D31</f>
        <v>1</v>
      </c>
    </row>
    <row r="35" spans="2:4">
      <c r="B35" s="59">
        <v>60</v>
      </c>
      <c r="C35" s="59">
        <f>COUNTIF(C$4:C$30,"&gt;59")-C34-C33-C32-C31</f>
        <v>0</v>
      </c>
      <c r="D35" s="59">
        <f>COUNTIF(D$4:D$30,"&gt;59")-D34-D33-D32-D31</f>
        <v>0</v>
      </c>
    </row>
    <row r="36" spans="2:4">
      <c r="B36" s="59" t="s">
        <v>215</v>
      </c>
      <c r="C36" s="59">
        <f>27-C35-C34-C33-C32-C31</f>
        <v>27</v>
      </c>
      <c r="D36" s="59">
        <f>27-D35-D34-D33-D32-D31</f>
        <v>1</v>
      </c>
    </row>
    <row r="37" spans="2:4">
      <c r="B37" s="62" t="s">
        <v>216</v>
      </c>
      <c r="C37" s="59">
        <f>SUM(C31:C36)</f>
        <v>27</v>
      </c>
      <c r="D37" s="59">
        <f>SUM(D31:D36)</f>
        <v>27</v>
      </c>
    </row>
  </sheetData>
  <mergeCells count="1">
    <mergeCell ref="A1:B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26"/>
  <sheetViews>
    <sheetView zoomScale="140" zoomScaleNormal="140" workbookViewId="0">
      <selection activeCell="G13" sqref="G13"/>
    </sheetView>
  </sheetViews>
  <sheetFormatPr defaultRowHeight="19.5"/>
  <cols>
    <col min="1" max="1" width="8.75" style="193" customWidth="1"/>
    <col min="2" max="2" width="7.625" style="193" customWidth="1"/>
    <col min="3" max="3" width="8.75" style="193" customWidth="1"/>
    <col min="4" max="4" width="7.625" style="193" customWidth="1"/>
    <col min="5" max="5" width="8.75" style="193" customWidth="1"/>
    <col min="6" max="6" width="7.625" style="193" customWidth="1"/>
    <col min="7" max="7" width="8.75" style="193" customWidth="1"/>
    <col min="8" max="8" width="7.625" style="194" customWidth="1"/>
    <col min="9" max="9" width="8.75" style="194" customWidth="1"/>
    <col min="10" max="10" width="7.625" style="145" customWidth="1"/>
    <col min="11" max="11" width="9" customWidth="1"/>
  </cols>
  <sheetData>
    <row r="1" spans="1:11" ht="33" customHeight="1" thickTop="1">
      <c r="A1" s="201" t="s">
        <v>505</v>
      </c>
      <c r="B1" s="566" t="s">
        <v>506</v>
      </c>
      <c r="C1" s="566"/>
      <c r="D1" s="566"/>
      <c r="E1" s="566"/>
      <c r="F1" s="566"/>
      <c r="G1" s="566"/>
      <c r="H1" s="559" t="s">
        <v>518</v>
      </c>
      <c r="I1" s="559"/>
      <c r="J1" s="559">
        <v>1081224</v>
      </c>
      <c r="K1" s="560"/>
    </row>
    <row r="2" spans="1:11" ht="33" customHeight="1">
      <c r="A2" s="565" t="s">
        <v>516</v>
      </c>
      <c r="B2" s="563"/>
      <c r="C2" s="563"/>
      <c r="D2" s="563" t="s">
        <v>517</v>
      </c>
      <c r="E2" s="563"/>
      <c r="F2" s="563" t="s">
        <v>519</v>
      </c>
      <c r="G2" s="563"/>
      <c r="H2" s="563" t="s">
        <v>520</v>
      </c>
      <c r="I2" s="563"/>
      <c r="J2" s="563" t="s">
        <v>517</v>
      </c>
      <c r="K2" s="564"/>
    </row>
    <row r="3" spans="1:11" ht="33" customHeight="1">
      <c r="A3" s="196" t="s">
        <v>507</v>
      </c>
      <c r="B3" s="195">
        <v>4</v>
      </c>
      <c r="C3" s="195" t="str">
        <f>VLOOKUP(B3,緊急聯絡!$A$2:$C$28,3,0)</f>
        <v>李奎煜</v>
      </c>
      <c r="D3" s="195">
        <v>9</v>
      </c>
      <c r="E3" s="195" t="str">
        <f>VLOOKUP(D3,緊急聯絡!$A$2:$C$28,3,0)</f>
        <v>吳承哲</v>
      </c>
      <c r="F3" s="195">
        <v>17</v>
      </c>
      <c r="G3" s="195" t="str">
        <f>VLOOKUP(F3,緊急聯絡!$A$2:$C$28,3,0)</f>
        <v>張智函</v>
      </c>
      <c r="H3" s="195">
        <v>1</v>
      </c>
      <c r="I3" s="195" t="str">
        <f>VLOOKUP(H3,緊急聯絡!$A$2:$C$28,3,0)</f>
        <v>陳威劭</v>
      </c>
      <c r="J3" s="195">
        <v>5</v>
      </c>
      <c r="K3" s="197" t="str">
        <f>VLOOKUP(J3,緊急聯絡!$A$2:$C$28,3,0)</f>
        <v>葉翃均</v>
      </c>
    </row>
    <row r="4" spans="1:11" ht="33" customHeight="1">
      <c r="A4" s="196" t="s">
        <v>508</v>
      </c>
      <c r="B4" s="195">
        <v>8</v>
      </c>
      <c r="C4" s="195" t="str">
        <f>VLOOKUP(B4,緊急聯絡!$A$2:$C$28,3,0)</f>
        <v>洪楷珅</v>
      </c>
      <c r="D4" s="195">
        <v>6</v>
      </c>
      <c r="E4" s="195" t="str">
        <f>VLOOKUP(D4,緊急聯絡!$A$2:$C$28,3,0)</f>
        <v>王奕勳</v>
      </c>
      <c r="F4" s="195">
        <v>15</v>
      </c>
      <c r="G4" s="195" t="str">
        <f>VLOOKUP(F4,緊急聯絡!$A$2:$C$28,3,0)</f>
        <v>藍彩華</v>
      </c>
      <c r="H4" s="195">
        <v>18</v>
      </c>
      <c r="I4" s="197" t="str">
        <f>VLOOKUP(H4,緊急聯絡!$A$2:$C$28,3,0)</f>
        <v>許凌菲</v>
      </c>
      <c r="J4" s="195">
        <v>12</v>
      </c>
      <c r="K4" s="197" t="str">
        <f>VLOOKUP(J4,緊急聯絡!$A$2:$C$28,3,0)</f>
        <v>魏宇謙</v>
      </c>
    </row>
    <row r="5" spans="1:11" ht="33" customHeight="1">
      <c r="A5" s="196" t="s">
        <v>509</v>
      </c>
      <c r="B5" s="195">
        <v>9</v>
      </c>
      <c r="C5" s="195" t="str">
        <f>VLOOKUP(B5,緊急聯絡!$A$2:$C$28,3,0)</f>
        <v>吳承哲</v>
      </c>
      <c r="D5" s="195">
        <v>3</v>
      </c>
      <c r="E5" s="195" t="str">
        <f>VLOOKUP(D5,緊急聯絡!$A$2:$C$28,3,0)</f>
        <v>林昱任</v>
      </c>
      <c r="F5" s="195">
        <v>3</v>
      </c>
      <c r="G5" s="195" t="str">
        <f>VLOOKUP(F5,緊急聯絡!$A$2:$C$28,3,0)</f>
        <v>林昱任</v>
      </c>
      <c r="H5" s="195">
        <v>9</v>
      </c>
      <c r="I5" s="197" t="str">
        <f>VLOOKUP(H5,緊急聯絡!$A$2:$C$28,3,0)</f>
        <v>吳承哲</v>
      </c>
      <c r="J5" s="195">
        <v>21</v>
      </c>
      <c r="K5" s="197" t="str">
        <f>VLOOKUP(J5,緊急聯絡!$A$2:$C$28,3,0)</f>
        <v>楊筱歆</v>
      </c>
    </row>
    <row r="6" spans="1:11" ht="33" customHeight="1">
      <c r="A6" s="196" t="s">
        <v>510</v>
      </c>
      <c r="B6" s="195">
        <v>16</v>
      </c>
      <c r="C6" s="195" t="str">
        <f>VLOOKUP(B6,緊急聯絡!$A$2:$C$28,3,0)</f>
        <v>曾琛晞</v>
      </c>
      <c r="D6" s="195">
        <v>20</v>
      </c>
      <c r="E6" s="195" t="str">
        <f>VLOOKUP(D6,緊急聯絡!$A$2:$C$28,3,0)</f>
        <v>蔡羽媗</v>
      </c>
      <c r="F6" s="195">
        <v>20</v>
      </c>
      <c r="G6" s="195" t="str">
        <f>VLOOKUP(F6,緊急聯絡!$A$2:$C$28,3,0)</f>
        <v>蔡羽媗</v>
      </c>
      <c r="H6" s="195">
        <v>22</v>
      </c>
      <c r="I6" s="197" t="str">
        <f>VLOOKUP(H6,緊急聯絡!$A$2:$C$28,3,0)</f>
        <v>邱詩涵</v>
      </c>
      <c r="J6" s="195">
        <v>23</v>
      </c>
      <c r="K6" s="197" t="str">
        <f>VLOOKUP(J6,緊急聯絡!$A$2:$C$28,3,0)</f>
        <v>張涵甯</v>
      </c>
    </row>
    <row r="7" spans="1:11" ht="33" customHeight="1">
      <c r="A7" s="196" t="s">
        <v>511</v>
      </c>
      <c r="B7" s="195">
        <v>14</v>
      </c>
      <c r="C7" s="195" t="str">
        <f>VLOOKUP(B7,緊急聯絡!$A$2:$C$28,3,0)</f>
        <v>高翊庭</v>
      </c>
      <c r="D7" s="195">
        <v>1</v>
      </c>
      <c r="E7" s="195" t="str">
        <f>VLOOKUP(D7,緊急聯絡!$A$2:$C$28,3,0)</f>
        <v>陳威劭</v>
      </c>
      <c r="F7" s="195">
        <v>7</v>
      </c>
      <c r="G7" s="195" t="str">
        <f>VLOOKUP(F7,緊急聯絡!$A$2:$C$28,3,0)</f>
        <v>葉彥均</v>
      </c>
      <c r="H7" s="195">
        <v>6</v>
      </c>
      <c r="I7" s="197" t="str">
        <f>VLOOKUP(H7,緊急聯絡!$A$2:$C$28,3,0)</f>
        <v>王奕勳</v>
      </c>
      <c r="J7" s="195">
        <v>24</v>
      </c>
      <c r="K7" s="197" t="str">
        <f>VLOOKUP(J7,緊急聯絡!$A$2:$C$28,3,0)</f>
        <v>王姿涵</v>
      </c>
    </row>
    <row r="8" spans="1:11" ht="33" customHeight="1">
      <c r="A8" s="196" t="s">
        <v>512</v>
      </c>
      <c r="B8" s="195">
        <v>15</v>
      </c>
      <c r="C8" s="195" t="str">
        <f>VLOOKUP(B8,緊急聯絡!$A$2:$C$28,3,0)</f>
        <v>藍彩華</v>
      </c>
      <c r="D8" s="195">
        <v>17</v>
      </c>
      <c r="E8" s="195" t="str">
        <f>VLOOKUP(D8,緊急聯絡!$A$2:$C$28,3,0)</f>
        <v>張智函</v>
      </c>
      <c r="F8" s="195">
        <v>4</v>
      </c>
      <c r="G8" s="195" t="str">
        <f>VLOOKUP(F8,緊急聯絡!$A$2:$C$28,3,0)</f>
        <v>李奎煜</v>
      </c>
      <c r="H8" s="195">
        <v>16</v>
      </c>
      <c r="I8" s="197" t="str">
        <f>VLOOKUP(H8,緊急聯絡!$A$2:$C$28,3,0)</f>
        <v>曾琛晞</v>
      </c>
      <c r="J8" s="195">
        <v>25</v>
      </c>
      <c r="K8" s="197" t="str">
        <f>VLOOKUP(J8,緊急聯絡!$A$2:$C$28,3,0)</f>
        <v>林昱萱</v>
      </c>
    </row>
    <row r="9" spans="1:11" ht="33" customHeight="1">
      <c r="A9" s="196" t="s">
        <v>513</v>
      </c>
      <c r="B9" s="195">
        <v>13</v>
      </c>
      <c r="C9" s="195" t="str">
        <f>VLOOKUP(B9,緊急聯絡!$A$2:$C$28,3,0)</f>
        <v>林季曄</v>
      </c>
      <c r="D9" s="195">
        <v>14</v>
      </c>
      <c r="E9" s="195" t="str">
        <f>VLOOKUP(D9,緊急聯絡!$A$2:$C$28,3,0)</f>
        <v>高翊庭</v>
      </c>
      <c r="F9" s="195">
        <v>27</v>
      </c>
      <c r="G9" s="195">
        <f>VLOOKUP(F9,緊急聯絡!$A$2:$C$28,3,0)</f>
        <v>0</v>
      </c>
      <c r="H9" s="195">
        <v>19</v>
      </c>
      <c r="I9" s="197" t="str">
        <f>VLOOKUP(H9,緊急聯絡!$A$2:$C$28,3,0)</f>
        <v>吳羽棠</v>
      </c>
      <c r="J9" s="195">
        <v>26</v>
      </c>
      <c r="K9" s="197" t="str">
        <f>VLOOKUP(J9,緊急聯絡!$A$2:$C$28,3,0)</f>
        <v>李文</v>
      </c>
    </row>
    <row r="10" spans="1:11" ht="33" customHeight="1">
      <c r="A10" s="196" t="s">
        <v>514</v>
      </c>
      <c r="B10" s="195">
        <v>3</v>
      </c>
      <c r="C10" s="195" t="str">
        <f>VLOOKUP(B10,緊急聯絡!$A$2:$C$28,3,0)</f>
        <v>林昱任</v>
      </c>
      <c r="D10" s="195">
        <v>13</v>
      </c>
      <c r="E10" s="195" t="str">
        <f>VLOOKUP(D10,緊急聯絡!$A$2:$C$28,3,0)</f>
        <v>林季曄</v>
      </c>
      <c r="F10" s="195">
        <v>8</v>
      </c>
      <c r="G10" s="195" t="str">
        <f>VLOOKUP(F10,緊急聯絡!$A$2:$C$28,3,0)</f>
        <v>洪楷珅</v>
      </c>
      <c r="H10" s="195">
        <v>2</v>
      </c>
      <c r="I10" s="197" t="str">
        <f>VLOOKUP(H10,緊急聯絡!$A$2:$C$28,3,0)</f>
        <v>周宗慶</v>
      </c>
      <c r="J10" s="195">
        <v>28</v>
      </c>
      <c r="K10" s="197" t="e">
        <f>VLOOKUP(J10,緊急聯絡!$A$2:$C$28,3,0)</f>
        <v>#N/A</v>
      </c>
    </row>
    <row r="11" spans="1:11" ht="33" customHeight="1" thickBot="1">
      <c r="A11" s="198" t="s">
        <v>515</v>
      </c>
      <c r="B11" s="199">
        <v>18</v>
      </c>
      <c r="C11" s="199" t="str">
        <f>VLOOKUP(B11,緊急聯絡!$A$2:$C$28,3,0)</f>
        <v>許凌菲</v>
      </c>
      <c r="D11" s="199">
        <v>27</v>
      </c>
      <c r="E11" s="199">
        <f>VLOOKUP(D11,緊急聯絡!$A$2:$C$28,3,0)</f>
        <v>0</v>
      </c>
      <c r="F11" s="199">
        <v>13</v>
      </c>
      <c r="G11" s="199" t="str">
        <f>VLOOKUP(F11,緊急聯絡!$A$2:$C$28,3,0)</f>
        <v>林季曄</v>
      </c>
      <c r="H11" s="199">
        <v>14</v>
      </c>
      <c r="I11" s="199" t="str">
        <f>VLOOKUP(H11,緊急聯絡!$A$2:$C$28,3,0)</f>
        <v>高翊庭</v>
      </c>
      <c r="J11" s="199">
        <v>29</v>
      </c>
      <c r="K11" s="200" t="e">
        <f>VLOOKUP(J11,緊急聯絡!$A$2:$C$28,3,0)</f>
        <v>#N/A</v>
      </c>
    </row>
    <row r="12" spans="1:11" ht="20.25" thickTop="1"/>
    <row r="13" spans="1:11" s="78" customFormat="1">
      <c r="A13" s="193"/>
      <c r="B13" s="193"/>
      <c r="C13" s="193"/>
      <c r="D13" s="193"/>
      <c r="E13" s="193"/>
      <c r="F13" s="193"/>
      <c r="G13" s="193"/>
      <c r="H13" s="194"/>
      <c r="I13" s="194"/>
      <c r="J13" s="145"/>
    </row>
    <row r="14" spans="1:11" s="78" customFormat="1" ht="20.25" thickBot="1">
      <c r="A14" s="193"/>
      <c r="B14" s="193"/>
      <c r="C14" s="193"/>
      <c r="D14" s="193"/>
      <c r="E14" s="193"/>
      <c r="F14" s="193"/>
      <c r="G14" s="193"/>
      <c r="H14" s="194"/>
      <c r="I14" s="194"/>
      <c r="J14" s="145"/>
    </row>
    <row r="15" spans="1:11" s="78" customFormat="1" ht="33" customHeight="1" thickTop="1">
      <c r="A15" s="202" t="s">
        <v>505</v>
      </c>
      <c r="B15" s="561" t="s">
        <v>528</v>
      </c>
      <c r="C15" s="561"/>
      <c r="D15" s="561"/>
      <c r="E15" s="561"/>
      <c r="F15" s="561"/>
      <c r="G15" s="561"/>
      <c r="H15" s="561" t="s">
        <v>518</v>
      </c>
      <c r="I15" s="561"/>
      <c r="J15" s="561">
        <v>1090108</v>
      </c>
      <c r="K15" s="562"/>
    </row>
    <row r="16" spans="1:11" s="78" customFormat="1" ht="33" customHeight="1">
      <c r="A16" s="203" t="s">
        <v>516</v>
      </c>
      <c r="B16" s="567" t="s">
        <v>523</v>
      </c>
      <c r="C16" s="567"/>
      <c r="D16" s="567" t="s">
        <v>524</v>
      </c>
      <c r="E16" s="567"/>
      <c r="F16" s="567" t="s">
        <v>517</v>
      </c>
      <c r="G16" s="567"/>
      <c r="H16" s="567" t="s">
        <v>521</v>
      </c>
      <c r="I16" s="567"/>
      <c r="J16" s="567" t="s">
        <v>522</v>
      </c>
      <c r="K16" s="568"/>
    </row>
    <row r="17" spans="1:11" s="78" customFormat="1" ht="33" customHeight="1">
      <c r="A17" s="203" t="s">
        <v>507</v>
      </c>
      <c r="B17" s="206">
        <v>8</v>
      </c>
      <c r="C17" s="206" t="str">
        <f>VLOOKUP(B17,緊急聯絡!$A$2:$C$28,3,0)</f>
        <v>洪楷珅</v>
      </c>
      <c r="D17" s="206">
        <v>9</v>
      </c>
      <c r="E17" s="206" t="str">
        <f>VLOOKUP(D17,緊急聯絡!$A$2:$C$28,3,0)</f>
        <v>吳承哲</v>
      </c>
      <c r="F17" s="206">
        <v>2</v>
      </c>
      <c r="G17" s="206" t="str">
        <f>VLOOKUP(F17,緊急聯絡!$A$2:$C$28,3,0)</f>
        <v>周宗慶</v>
      </c>
      <c r="H17" s="206">
        <v>23</v>
      </c>
      <c r="I17" s="206" t="str">
        <f>VLOOKUP(H17,緊急聯絡!$A$2:$C$28,3,0)</f>
        <v>張涵甯</v>
      </c>
      <c r="J17" s="206">
        <v>1</v>
      </c>
      <c r="K17" s="207" t="str">
        <f>VLOOKUP(J17,緊急聯絡!$A$2:$C$28,3,0)</f>
        <v>陳威劭</v>
      </c>
    </row>
    <row r="18" spans="1:11" s="78" customFormat="1" ht="33" customHeight="1">
      <c r="A18" s="203" t="s">
        <v>508</v>
      </c>
      <c r="B18" s="206">
        <v>4</v>
      </c>
      <c r="C18" s="206" t="str">
        <f>VLOOKUP(B18,緊急聯絡!$A$2:$C$28,3,0)</f>
        <v>李奎煜</v>
      </c>
      <c r="D18" s="206">
        <v>6</v>
      </c>
      <c r="E18" s="206" t="str">
        <f>VLOOKUP(D18,緊急聯絡!$A$2:$C$28,3,0)</f>
        <v>王奕勳</v>
      </c>
      <c r="F18" s="206">
        <v>13</v>
      </c>
      <c r="G18" s="206" t="str">
        <f>VLOOKUP(F18,緊急聯絡!$A$2:$C$28,3,0)</f>
        <v>林季曄</v>
      </c>
      <c r="H18" s="206">
        <v>15</v>
      </c>
      <c r="I18" s="206" t="str">
        <f>VLOOKUP(H18,緊急聯絡!$A$2:$C$28,3,0)</f>
        <v>藍彩華</v>
      </c>
      <c r="J18" s="206">
        <v>28</v>
      </c>
      <c r="K18" s="207" t="e">
        <f>VLOOKUP(J18,緊急聯絡!$A$2:$C$28,3,0)</f>
        <v>#N/A</v>
      </c>
    </row>
    <row r="19" spans="1:11" s="78" customFormat="1" ht="33" customHeight="1">
      <c r="A19" s="203" t="s">
        <v>509</v>
      </c>
      <c r="B19" s="206">
        <v>3</v>
      </c>
      <c r="C19" s="206" t="str">
        <f>VLOOKUP(B19,緊急聯絡!$A$2:$C$28,3,0)</f>
        <v>林昱任</v>
      </c>
      <c r="D19" s="206">
        <v>5</v>
      </c>
      <c r="E19" s="206" t="str">
        <f>VLOOKUP(D19,緊急聯絡!$A$2:$C$28,3,0)</f>
        <v>葉翃均</v>
      </c>
      <c r="F19" s="206">
        <v>21</v>
      </c>
      <c r="G19" s="206" t="str">
        <f>VLOOKUP(F19,緊急聯絡!$A$2:$C$28,3,0)</f>
        <v>楊筱歆</v>
      </c>
      <c r="H19" s="206">
        <v>3</v>
      </c>
      <c r="I19" s="206" t="str">
        <f>VLOOKUP(H19,緊急聯絡!$A$2:$C$28,3,0)</f>
        <v>林昱任</v>
      </c>
      <c r="J19" s="206">
        <v>9</v>
      </c>
      <c r="K19" s="207" t="str">
        <f>VLOOKUP(J19,緊急聯絡!$A$2:$C$28,3,0)</f>
        <v>吳承哲</v>
      </c>
    </row>
    <row r="20" spans="1:11" s="78" customFormat="1" ht="33" customHeight="1">
      <c r="A20" s="203" t="s">
        <v>510</v>
      </c>
      <c r="B20" s="206">
        <v>12</v>
      </c>
      <c r="C20" s="206" t="str">
        <f>VLOOKUP(B20,緊急聯絡!$A$2:$C$28,3,0)</f>
        <v>魏宇謙</v>
      </c>
      <c r="D20" s="206">
        <v>14</v>
      </c>
      <c r="E20" s="206" t="str">
        <f>VLOOKUP(D20,緊急聯絡!$A$2:$C$28,3,0)</f>
        <v>高翊庭</v>
      </c>
      <c r="F20" s="206">
        <v>17</v>
      </c>
      <c r="G20" s="206" t="str">
        <f>VLOOKUP(F20,緊急聯絡!$A$2:$C$28,3,0)</f>
        <v>張智函</v>
      </c>
      <c r="H20" s="206">
        <v>20</v>
      </c>
      <c r="I20" s="206" t="str">
        <f>VLOOKUP(H20,緊急聯絡!$A$2:$C$28,3,0)</f>
        <v>蔡羽媗</v>
      </c>
      <c r="J20" s="206">
        <v>22</v>
      </c>
      <c r="K20" s="207" t="str">
        <f>VLOOKUP(J20,緊急聯絡!$A$2:$C$28,3,0)</f>
        <v>邱詩涵</v>
      </c>
    </row>
    <row r="21" spans="1:11" s="78" customFormat="1" ht="33" customHeight="1">
      <c r="A21" s="203" t="s">
        <v>511</v>
      </c>
      <c r="B21" s="206">
        <v>20</v>
      </c>
      <c r="C21" s="206" t="str">
        <f>VLOOKUP(B21,緊急聯絡!$A$2:$C$28,3,0)</f>
        <v>蔡羽媗</v>
      </c>
      <c r="D21" s="206">
        <v>23</v>
      </c>
      <c r="E21" s="206" t="str">
        <f>VLOOKUP(D21,緊急聯絡!$A$2:$C$28,3,0)</f>
        <v>張涵甯</v>
      </c>
      <c r="F21" s="206">
        <v>24</v>
      </c>
      <c r="G21" s="206" t="str">
        <f>VLOOKUP(F21,緊急聯絡!$A$2:$C$28,3,0)</f>
        <v>王姿涵</v>
      </c>
      <c r="H21" s="206">
        <v>7</v>
      </c>
      <c r="I21" s="206" t="str">
        <f>VLOOKUP(H21,緊急聯絡!$A$2:$C$28,3,0)</f>
        <v>葉彥均</v>
      </c>
      <c r="J21" s="206">
        <v>6</v>
      </c>
      <c r="K21" s="207" t="str">
        <f>VLOOKUP(J21,緊急聯絡!$A$2:$C$28,3,0)</f>
        <v>王奕勳</v>
      </c>
    </row>
    <row r="22" spans="1:11" s="78" customFormat="1" ht="33" customHeight="1">
      <c r="A22" s="203" t="s">
        <v>512</v>
      </c>
      <c r="B22" s="206">
        <v>15</v>
      </c>
      <c r="C22" s="206" t="str">
        <f>VLOOKUP(B22,緊急聯絡!$A$2:$C$28,3,0)</f>
        <v>藍彩華</v>
      </c>
      <c r="D22" s="206">
        <v>16</v>
      </c>
      <c r="E22" s="206" t="str">
        <f>VLOOKUP(D22,緊急聯絡!$A$2:$C$28,3,0)</f>
        <v>曾琛晞</v>
      </c>
      <c r="F22" s="206">
        <v>25</v>
      </c>
      <c r="G22" s="206" t="str">
        <f>VLOOKUP(F22,緊急聯絡!$A$2:$C$28,3,0)</f>
        <v>林昱萱</v>
      </c>
      <c r="H22" s="206">
        <v>4</v>
      </c>
      <c r="I22" s="206" t="str">
        <f>VLOOKUP(H22,緊急聯絡!$A$2:$C$28,3,0)</f>
        <v>李奎煜</v>
      </c>
      <c r="J22" s="206">
        <v>16</v>
      </c>
      <c r="K22" s="207" t="str">
        <f>VLOOKUP(J22,緊急聯絡!$A$2:$C$28,3,0)</f>
        <v>曾琛晞</v>
      </c>
    </row>
    <row r="23" spans="1:11" s="78" customFormat="1" ht="33" customHeight="1">
      <c r="A23" s="203" t="s">
        <v>513</v>
      </c>
      <c r="B23" s="206">
        <v>27</v>
      </c>
      <c r="C23" s="206">
        <f>VLOOKUP(B23,緊急聯絡!$A$2:$C$28,3,0)</f>
        <v>0</v>
      </c>
      <c r="D23" s="206">
        <v>19</v>
      </c>
      <c r="E23" s="206" t="str">
        <f>VLOOKUP(D23,緊急聯絡!$A$2:$C$28,3,0)</f>
        <v>吳羽棠</v>
      </c>
      <c r="F23" s="206">
        <v>26</v>
      </c>
      <c r="G23" s="206" t="str">
        <f>VLOOKUP(F23,緊急聯絡!$A$2:$C$28,3,0)</f>
        <v>李文</v>
      </c>
      <c r="H23" s="206">
        <v>27</v>
      </c>
      <c r="I23" s="206">
        <f>VLOOKUP(H23,緊急聯絡!$A$2:$C$28,3,0)</f>
        <v>0</v>
      </c>
      <c r="J23" s="206">
        <v>17</v>
      </c>
      <c r="K23" s="207" t="str">
        <f>VLOOKUP(J23,緊急聯絡!$A$2:$C$28,3,0)</f>
        <v>張智函</v>
      </c>
    </row>
    <row r="24" spans="1:11" s="78" customFormat="1" ht="33" customHeight="1">
      <c r="A24" s="203" t="s">
        <v>514</v>
      </c>
      <c r="B24" s="206">
        <v>7</v>
      </c>
      <c r="C24" s="206" t="str">
        <f>VLOOKUP(B24,緊急聯絡!$A$2:$C$28,3,0)</f>
        <v>葉彥均</v>
      </c>
      <c r="D24" s="206">
        <v>1</v>
      </c>
      <c r="E24" s="206" t="str">
        <f>VLOOKUP(D24,緊急聯絡!$A$2:$C$28,3,0)</f>
        <v>陳威劭</v>
      </c>
      <c r="F24" s="206">
        <v>18</v>
      </c>
      <c r="G24" s="206" t="str">
        <f>VLOOKUP(F24,緊急聯絡!$A$2:$C$28,3,0)</f>
        <v>許凌菲</v>
      </c>
      <c r="H24" s="206">
        <v>8</v>
      </c>
      <c r="I24" s="206" t="str">
        <f>VLOOKUP(H24,緊急聯絡!$A$2:$C$28,3,0)</f>
        <v>洪楷珅</v>
      </c>
      <c r="J24" s="206">
        <v>5</v>
      </c>
      <c r="K24" s="207" t="str">
        <f>VLOOKUP(J24,緊急聯絡!$A$2:$C$28,3,0)</f>
        <v>葉翃均</v>
      </c>
    </row>
    <row r="25" spans="1:11" s="78" customFormat="1" ht="33" customHeight="1" thickBot="1">
      <c r="A25" s="209" t="s">
        <v>515</v>
      </c>
      <c r="B25" s="204">
        <v>28</v>
      </c>
      <c r="C25" s="204" t="e">
        <f>VLOOKUP(B25,緊急聯絡!$A$2:$C$28,3,0)</f>
        <v>#N/A</v>
      </c>
      <c r="D25" s="204">
        <v>22</v>
      </c>
      <c r="E25" s="204" t="str">
        <f>VLOOKUP(D25,緊急聯絡!$A$2:$C$28,3,0)</f>
        <v>邱詩涵</v>
      </c>
      <c r="F25" s="204">
        <v>29</v>
      </c>
      <c r="G25" s="204" t="e">
        <f>VLOOKUP(F25,緊急聯絡!$A$2:$C$28,3,0)</f>
        <v>#N/A</v>
      </c>
      <c r="H25" s="204">
        <v>12</v>
      </c>
      <c r="I25" s="204" t="str">
        <f>VLOOKUP(H25,緊急聯絡!$A$2:$C$28,3,0)</f>
        <v>魏宇謙</v>
      </c>
      <c r="J25" s="204">
        <v>14</v>
      </c>
      <c r="K25" s="205" t="str">
        <f>VLOOKUP(J25,緊急聯絡!$A$2:$C$28,3,0)</f>
        <v>高翊庭</v>
      </c>
    </row>
    <row r="26" spans="1:11" ht="20.25" thickTop="1"/>
  </sheetData>
  <mergeCells count="16">
    <mergeCell ref="D16:E16"/>
    <mergeCell ref="H16:I16"/>
    <mergeCell ref="J16:K16"/>
    <mergeCell ref="F16:G16"/>
    <mergeCell ref="B16:C16"/>
    <mergeCell ref="J1:K1"/>
    <mergeCell ref="J15:K15"/>
    <mergeCell ref="B15:G15"/>
    <mergeCell ref="H15:I15"/>
    <mergeCell ref="J2:K2"/>
    <mergeCell ref="D2:E2"/>
    <mergeCell ref="F2:G2"/>
    <mergeCell ref="A2:C2"/>
    <mergeCell ref="H2:I2"/>
    <mergeCell ref="B1:G1"/>
    <mergeCell ref="H1:I1"/>
  </mergeCells>
  <phoneticPr fontId="2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4"/>
  <sheetViews>
    <sheetView topLeftCell="A4" workbookViewId="0">
      <selection activeCell="I24" sqref="I24"/>
    </sheetView>
  </sheetViews>
  <sheetFormatPr defaultRowHeight="16.5"/>
  <sheetData>
    <row r="1" spans="1:7">
      <c r="A1" s="512" t="s">
        <v>581</v>
      </c>
      <c r="B1" s="512"/>
      <c r="C1" s="512"/>
      <c r="D1" s="512"/>
      <c r="E1" s="512"/>
      <c r="F1" s="512"/>
      <c r="G1" s="512"/>
    </row>
    <row r="2" spans="1:7" s="78" customFormat="1">
      <c r="A2" s="512" t="s">
        <v>582</v>
      </c>
      <c r="B2" s="512"/>
      <c r="C2" s="512"/>
      <c r="D2" s="512"/>
      <c r="E2" s="512" t="s">
        <v>585</v>
      </c>
      <c r="F2" s="512"/>
      <c r="G2" s="512"/>
    </row>
    <row r="3" spans="1:7">
      <c r="A3" s="217" t="s">
        <v>102</v>
      </c>
      <c r="B3" s="212" t="s">
        <v>0</v>
      </c>
      <c r="C3" s="217" t="s">
        <v>2</v>
      </c>
      <c r="D3" s="273" t="s">
        <v>83</v>
      </c>
      <c r="E3" s="212" t="s">
        <v>0</v>
      </c>
      <c r="F3" s="217" t="s">
        <v>2</v>
      </c>
      <c r="G3" s="273" t="s">
        <v>83</v>
      </c>
    </row>
    <row r="4" spans="1:7">
      <c r="A4" s="217">
        <v>1</v>
      </c>
      <c r="B4" s="287" t="s">
        <v>124</v>
      </c>
      <c r="C4" s="294" t="s">
        <v>4</v>
      </c>
      <c r="D4" s="294">
        <v>981109</v>
      </c>
      <c r="E4" s="287"/>
      <c r="F4" s="294"/>
      <c r="G4" s="294"/>
    </row>
    <row r="5" spans="1:7">
      <c r="A5" s="217">
        <v>2</v>
      </c>
      <c r="B5" s="287" t="s">
        <v>125</v>
      </c>
      <c r="C5" s="294" t="s">
        <v>7</v>
      </c>
      <c r="D5" s="294" t="s">
        <v>8</v>
      </c>
      <c r="E5" s="287"/>
      <c r="F5" s="294"/>
      <c r="G5" s="294"/>
    </row>
    <row r="6" spans="1:7" s="78" customFormat="1">
      <c r="A6" s="217">
        <v>3</v>
      </c>
      <c r="B6" s="287" t="s">
        <v>9</v>
      </c>
      <c r="C6" s="294" t="s">
        <v>615</v>
      </c>
      <c r="D6" s="294" t="s">
        <v>8</v>
      </c>
      <c r="E6" s="287" t="s">
        <v>616</v>
      </c>
      <c r="F6" s="294" t="s">
        <v>617</v>
      </c>
      <c r="G6" s="294">
        <v>710513</v>
      </c>
    </row>
    <row r="7" spans="1:7">
      <c r="A7" s="217">
        <v>4</v>
      </c>
      <c r="B7" s="287" t="s">
        <v>126</v>
      </c>
      <c r="C7" s="294" t="s">
        <v>11</v>
      </c>
      <c r="D7" s="294" t="s">
        <v>12</v>
      </c>
      <c r="E7" s="287" t="s">
        <v>583</v>
      </c>
      <c r="F7" s="294" t="s">
        <v>584</v>
      </c>
      <c r="G7" s="294">
        <v>661123</v>
      </c>
    </row>
    <row r="8" spans="1:7">
      <c r="A8" s="217">
        <v>5</v>
      </c>
      <c r="B8" s="287" t="s">
        <v>127</v>
      </c>
      <c r="C8" s="294" t="s">
        <v>14</v>
      </c>
      <c r="D8" s="294" t="s">
        <v>15</v>
      </c>
      <c r="E8" s="287"/>
      <c r="F8" s="294"/>
      <c r="G8" s="294"/>
    </row>
    <row r="9" spans="1:7">
      <c r="A9" s="217">
        <v>6</v>
      </c>
      <c r="B9" s="287" t="s">
        <v>128</v>
      </c>
      <c r="C9" s="294" t="s">
        <v>17</v>
      </c>
      <c r="D9" s="294" t="s">
        <v>18</v>
      </c>
      <c r="E9" s="287" t="s">
        <v>586</v>
      </c>
      <c r="F9" s="294" t="s">
        <v>587</v>
      </c>
      <c r="G9" s="294">
        <v>801203</v>
      </c>
    </row>
    <row r="10" spans="1:7">
      <c r="A10" s="217">
        <v>7</v>
      </c>
      <c r="B10" s="287" t="s">
        <v>129</v>
      </c>
      <c r="C10" s="294" t="s">
        <v>20</v>
      </c>
      <c r="D10" s="294" t="s">
        <v>21</v>
      </c>
      <c r="E10" s="287"/>
      <c r="F10" s="294"/>
      <c r="G10" s="294"/>
    </row>
    <row r="11" spans="1:7">
      <c r="A11" s="217">
        <v>8</v>
      </c>
      <c r="B11" s="287" t="s">
        <v>130</v>
      </c>
      <c r="C11" s="294" t="s">
        <v>23</v>
      </c>
      <c r="D11" s="294" t="s">
        <v>24</v>
      </c>
      <c r="E11" s="287"/>
      <c r="F11" s="294"/>
      <c r="G11" s="294"/>
    </row>
    <row r="12" spans="1:7">
      <c r="A12" s="217">
        <v>9</v>
      </c>
      <c r="B12" s="287" t="s">
        <v>131</v>
      </c>
      <c r="C12" s="294" t="s">
        <v>26</v>
      </c>
      <c r="D12" s="294" t="s">
        <v>27</v>
      </c>
      <c r="E12" s="287" t="s">
        <v>588</v>
      </c>
      <c r="F12" s="294" t="s">
        <v>589</v>
      </c>
      <c r="G12" s="294">
        <v>690315</v>
      </c>
    </row>
    <row r="13" spans="1:7">
      <c r="A13" s="217">
        <v>12</v>
      </c>
      <c r="B13" s="287" t="s">
        <v>132</v>
      </c>
      <c r="C13" s="294" t="s">
        <v>31</v>
      </c>
      <c r="D13" s="294" t="s">
        <v>32</v>
      </c>
      <c r="E13" s="287" t="s">
        <v>590</v>
      </c>
      <c r="F13" s="294" t="s">
        <v>591</v>
      </c>
      <c r="G13" s="294">
        <v>440924</v>
      </c>
    </row>
    <row r="14" spans="1:7">
      <c r="A14" s="217">
        <v>13</v>
      </c>
      <c r="B14" s="287" t="s">
        <v>133</v>
      </c>
      <c r="C14" s="294" t="s">
        <v>34</v>
      </c>
      <c r="D14" s="294" t="s">
        <v>35</v>
      </c>
      <c r="E14" s="287"/>
      <c r="F14" s="294"/>
      <c r="G14" s="294"/>
    </row>
    <row r="15" spans="1:7">
      <c r="A15" s="217">
        <v>14</v>
      </c>
      <c r="B15" s="287" t="s">
        <v>134</v>
      </c>
      <c r="C15" s="294" t="s">
        <v>37</v>
      </c>
      <c r="D15" s="294" t="s">
        <v>38</v>
      </c>
      <c r="E15" s="287" t="s">
        <v>134</v>
      </c>
      <c r="F15" s="294" t="s">
        <v>37</v>
      </c>
      <c r="G15" s="294" t="s">
        <v>38</v>
      </c>
    </row>
    <row r="16" spans="1:7">
      <c r="A16" s="217">
        <v>15</v>
      </c>
      <c r="B16" s="287" t="s">
        <v>135</v>
      </c>
      <c r="C16" s="294" t="s">
        <v>40</v>
      </c>
      <c r="D16" s="294" t="s">
        <v>41</v>
      </c>
      <c r="E16" s="287"/>
      <c r="F16" s="294"/>
      <c r="G16" s="294"/>
    </row>
    <row r="17" spans="1:7">
      <c r="A17" s="217">
        <v>16</v>
      </c>
      <c r="B17" s="287" t="s">
        <v>136</v>
      </c>
      <c r="C17" s="294" t="s">
        <v>43</v>
      </c>
      <c r="D17" s="294" t="s">
        <v>44</v>
      </c>
      <c r="E17" s="287" t="s">
        <v>592</v>
      </c>
      <c r="F17" s="294" t="s">
        <v>593</v>
      </c>
      <c r="G17" s="294">
        <v>630128</v>
      </c>
    </row>
    <row r="18" spans="1:7">
      <c r="A18" s="217">
        <v>17</v>
      </c>
      <c r="B18" s="287" t="s">
        <v>137</v>
      </c>
      <c r="C18" s="294" t="s">
        <v>46</v>
      </c>
      <c r="D18" s="294" t="s">
        <v>47</v>
      </c>
      <c r="E18" s="287" t="s">
        <v>594</v>
      </c>
      <c r="F18" s="294" t="s">
        <v>595</v>
      </c>
      <c r="G18" s="294">
        <v>700317</v>
      </c>
    </row>
    <row r="19" spans="1:7">
      <c r="A19" s="217">
        <v>18</v>
      </c>
      <c r="B19" s="287" t="s">
        <v>138</v>
      </c>
      <c r="C19" s="294" t="s">
        <v>49</v>
      </c>
      <c r="D19" s="294" t="s">
        <v>50</v>
      </c>
      <c r="E19" s="287"/>
      <c r="F19" s="294"/>
      <c r="G19" s="294"/>
    </row>
    <row r="20" spans="1:7">
      <c r="A20" s="217">
        <v>19</v>
      </c>
      <c r="B20" s="287" t="s">
        <v>139</v>
      </c>
      <c r="C20" s="294" t="s">
        <v>52</v>
      </c>
      <c r="D20" s="294" t="s">
        <v>53</v>
      </c>
      <c r="E20" s="287" t="s">
        <v>596</v>
      </c>
      <c r="F20" s="294" t="s">
        <v>597</v>
      </c>
      <c r="G20" s="294">
        <v>461230</v>
      </c>
    </row>
    <row r="21" spans="1:7">
      <c r="A21" s="217">
        <v>20</v>
      </c>
      <c r="B21" s="212" t="s">
        <v>54</v>
      </c>
      <c r="C21" s="294" t="s">
        <v>55</v>
      </c>
      <c r="D21" s="294" t="s">
        <v>56</v>
      </c>
      <c r="E21" s="212"/>
      <c r="F21" s="294"/>
      <c r="G21" s="294"/>
    </row>
    <row r="22" spans="1:7">
      <c r="A22" s="217">
        <v>21</v>
      </c>
      <c r="B22" s="287" t="s">
        <v>140</v>
      </c>
      <c r="C22" s="294" t="s">
        <v>58</v>
      </c>
      <c r="D22" s="294" t="s">
        <v>59</v>
      </c>
      <c r="E22" s="287" t="s">
        <v>606</v>
      </c>
      <c r="F22" s="294" t="s">
        <v>607</v>
      </c>
      <c r="G22" s="294">
        <v>610303</v>
      </c>
    </row>
    <row r="23" spans="1:7">
      <c r="A23" s="217">
        <v>22</v>
      </c>
      <c r="B23" s="287" t="s">
        <v>141</v>
      </c>
      <c r="C23" s="294" t="s">
        <v>61</v>
      </c>
      <c r="D23" s="294" t="s">
        <v>62</v>
      </c>
      <c r="E23" s="287"/>
      <c r="F23" s="294"/>
      <c r="G23" s="294"/>
    </row>
    <row r="24" spans="1:7">
      <c r="A24" s="217">
        <v>23</v>
      </c>
      <c r="B24" s="287" t="s">
        <v>142</v>
      </c>
      <c r="C24" s="294" t="s">
        <v>64</v>
      </c>
      <c r="D24" s="294" t="s">
        <v>65</v>
      </c>
      <c r="E24" s="287" t="s">
        <v>600</v>
      </c>
      <c r="F24" s="294" t="s">
        <v>601</v>
      </c>
      <c r="G24" s="294">
        <v>691121</v>
      </c>
    </row>
    <row r="25" spans="1:7">
      <c r="A25" s="217">
        <v>24</v>
      </c>
      <c r="B25" s="287" t="s">
        <v>143</v>
      </c>
      <c r="C25" s="294" t="s">
        <v>67</v>
      </c>
      <c r="D25" s="294" t="s">
        <v>68</v>
      </c>
      <c r="E25" s="287"/>
      <c r="F25" s="294"/>
      <c r="G25" s="294"/>
    </row>
    <row r="26" spans="1:7">
      <c r="A26" s="217">
        <v>25</v>
      </c>
      <c r="B26" s="287" t="s">
        <v>144</v>
      </c>
      <c r="C26" s="294" t="s">
        <v>70</v>
      </c>
      <c r="D26" s="294" t="s">
        <v>71</v>
      </c>
      <c r="E26" s="287"/>
      <c r="F26" s="294"/>
      <c r="G26" s="294"/>
    </row>
    <row r="27" spans="1:7">
      <c r="A27" s="217">
        <v>26</v>
      </c>
      <c r="B27" s="287" t="s">
        <v>145</v>
      </c>
      <c r="C27" s="294" t="s">
        <v>73</v>
      </c>
      <c r="D27" s="294" t="s">
        <v>74</v>
      </c>
      <c r="E27" s="287" t="s">
        <v>598</v>
      </c>
      <c r="F27" s="294" t="s">
        <v>599</v>
      </c>
      <c r="G27" s="294">
        <v>581003</v>
      </c>
    </row>
    <row r="28" spans="1:7">
      <c r="A28" s="217">
        <v>27</v>
      </c>
      <c r="B28" s="287" t="s">
        <v>146</v>
      </c>
      <c r="C28" s="294" t="s">
        <v>76</v>
      </c>
      <c r="D28" s="294" t="s">
        <v>77</v>
      </c>
      <c r="E28" s="287" t="s">
        <v>602</v>
      </c>
      <c r="F28" s="294" t="s">
        <v>603</v>
      </c>
      <c r="G28" s="294">
        <v>720108</v>
      </c>
    </row>
    <row r="29" spans="1:7">
      <c r="A29" s="217">
        <v>28</v>
      </c>
      <c r="B29" s="287" t="s">
        <v>147</v>
      </c>
      <c r="C29" s="294" t="s">
        <v>79</v>
      </c>
      <c r="D29" s="294" t="s">
        <v>80</v>
      </c>
      <c r="E29" s="287" t="s">
        <v>604</v>
      </c>
      <c r="F29" s="294" t="s">
        <v>605</v>
      </c>
      <c r="G29" s="294">
        <v>710217</v>
      </c>
    </row>
    <row r="30" spans="1:7">
      <c r="A30" s="217">
        <v>29</v>
      </c>
      <c r="B30" s="287" t="s">
        <v>148</v>
      </c>
      <c r="C30" s="294" t="s">
        <v>82</v>
      </c>
      <c r="D30" s="294" t="s">
        <v>80</v>
      </c>
      <c r="E30" s="287"/>
      <c r="F30" s="294"/>
      <c r="G30" s="294"/>
    </row>
    <row r="31" spans="1:7">
      <c r="A31" s="217">
        <v>30</v>
      </c>
      <c r="B31" s="287" t="s">
        <v>530</v>
      </c>
      <c r="C31" s="294" t="s">
        <v>531</v>
      </c>
      <c r="D31" s="294" t="s">
        <v>50</v>
      </c>
      <c r="E31" s="287"/>
      <c r="F31" s="294"/>
      <c r="G31" s="294"/>
    </row>
    <row r="32" spans="1:7">
      <c r="A32" s="295"/>
      <c r="B32" s="296" t="s">
        <v>608</v>
      </c>
      <c r="C32" s="297" t="s">
        <v>612</v>
      </c>
      <c r="D32" s="295" t="s">
        <v>613</v>
      </c>
      <c r="E32" s="296" t="s">
        <v>609</v>
      </c>
      <c r="F32" s="297" t="s">
        <v>612</v>
      </c>
      <c r="G32" s="295" t="s">
        <v>614</v>
      </c>
    </row>
    <row r="33" spans="1:7">
      <c r="A33" s="295" t="s">
        <v>610</v>
      </c>
      <c r="B33" s="295">
        <v>11</v>
      </c>
      <c r="C33" s="295">
        <v>28</v>
      </c>
      <c r="D33" s="295">
        <f>B33*C33</f>
        <v>308</v>
      </c>
      <c r="E33" s="295">
        <v>35</v>
      </c>
      <c r="F33" s="295">
        <v>14</v>
      </c>
      <c r="G33" s="295">
        <f>E33*F33</f>
        <v>490</v>
      </c>
    </row>
    <row r="34" spans="1:7">
      <c r="A34" s="286" t="s">
        <v>611</v>
      </c>
      <c r="B34" s="569">
        <f>D33+G33</f>
        <v>798</v>
      </c>
      <c r="C34" s="570"/>
      <c r="D34" s="570"/>
      <c r="E34" s="570"/>
      <c r="F34" s="570"/>
      <c r="G34" s="571"/>
    </row>
  </sheetData>
  <mergeCells count="4">
    <mergeCell ref="A2:D2"/>
    <mergeCell ref="E2:G2"/>
    <mergeCell ref="A1:G1"/>
    <mergeCell ref="B34:G34"/>
  </mergeCells>
  <phoneticPr fontId="2" type="noConversion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39"/>
  <sheetViews>
    <sheetView workbookViewId="0">
      <selection activeCell="G11" sqref="G11"/>
    </sheetView>
  </sheetViews>
  <sheetFormatPr defaultRowHeight="16.5"/>
  <cols>
    <col min="6" max="6" width="7.125" customWidth="1"/>
    <col min="7" max="7" width="12" style="78" customWidth="1"/>
    <col min="8" max="8" width="7.125" customWidth="1"/>
    <col min="9" max="9" width="12" style="78" customWidth="1"/>
    <col min="10" max="10" width="7.125" customWidth="1"/>
    <col min="11" max="11" width="12" style="78" customWidth="1"/>
    <col min="12" max="12" width="7.125" customWidth="1"/>
    <col min="13" max="13" width="12" customWidth="1"/>
  </cols>
  <sheetData>
    <row r="1" spans="1:13" ht="21.75" customHeight="1" thickTop="1">
      <c r="A1">
        <v>24</v>
      </c>
      <c r="B1">
        <v>20</v>
      </c>
      <c r="F1" s="572" t="s">
        <v>628</v>
      </c>
      <c r="G1" s="573"/>
      <c r="H1" s="573"/>
      <c r="I1" s="573"/>
      <c r="J1" s="573"/>
      <c r="K1" s="573"/>
      <c r="L1" s="573"/>
      <c r="M1" s="574"/>
    </row>
    <row r="2" spans="1:13" ht="21.75" customHeight="1">
      <c r="A2">
        <v>150</v>
      </c>
      <c r="B2">
        <v>160</v>
      </c>
      <c r="F2" s="320" t="s">
        <v>629</v>
      </c>
      <c r="G2" s="319"/>
      <c r="H2" s="319" t="s">
        <v>630</v>
      </c>
      <c r="I2" s="319"/>
      <c r="J2" s="319" t="s">
        <v>631</v>
      </c>
      <c r="K2" s="319"/>
      <c r="L2" s="319" t="s">
        <v>632</v>
      </c>
      <c r="M2" s="309"/>
    </row>
    <row r="3" spans="1:13" ht="21.75" customHeight="1">
      <c r="A3">
        <v>174</v>
      </c>
      <c r="B3">
        <v>150</v>
      </c>
      <c r="F3" s="320">
        <v>1</v>
      </c>
      <c r="G3" s="319"/>
      <c r="H3" s="319">
        <v>1</v>
      </c>
      <c r="I3" s="319"/>
      <c r="J3" s="319">
        <v>1</v>
      </c>
      <c r="K3" s="319"/>
      <c r="L3" s="319">
        <v>1</v>
      </c>
      <c r="M3" s="309"/>
    </row>
    <row r="4" spans="1:13" ht="21.75" customHeight="1">
      <c r="A4">
        <v>331</v>
      </c>
      <c r="B4">
        <v>129</v>
      </c>
      <c r="F4" s="320">
        <v>2</v>
      </c>
      <c r="G4" s="319"/>
      <c r="H4" s="319">
        <v>2</v>
      </c>
      <c r="I4" s="319"/>
      <c r="J4" s="319">
        <v>2</v>
      </c>
      <c r="K4" s="319"/>
      <c r="L4" s="319">
        <v>2</v>
      </c>
      <c r="M4" s="309"/>
    </row>
    <row r="5" spans="1:13" ht="21.75" customHeight="1">
      <c r="A5">
        <v>145</v>
      </c>
      <c r="B5">
        <v>286</v>
      </c>
      <c r="F5" s="320">
        <v>3</v>
      </c>
      <c r="G5" s="319"/>
      <c r="H5" s="319">
        <v>3</v>
      </c>
      <c r="I5" s="319"/>
      <c r="J5" s="319">
        <v>3</v>
      </c>
      <c r="K5" s="319"/>
      <c r="L5" s="319">
        <v>3</v>
      </c>
      <c r="M5" s="309"/>
    </row>
    <row r="6" spans="1:13" ht="21.75" customHeight="1">
      <c r="A6">
        <f>SUM(A2:A5)</f>
        <v>800</v>
      </c>
      <c r="B6" s="78">
        <f>SUM(B2:B5)</f>
        <v>725</v>
      </c>
      <c r="F6" s="320">
        <v>4</v>
      </c>
      <c r="G6" s="319"/>
      <c r="H6" s="319">
        <v>4</v>
      </c>
      <c r="I6" s="319"/>
      <c r="J6" s="319">
        <v>4</v>
      </c>
      <c r="K6" s="319"/>
      <c r="L6" s="319">
        <v>4</v>
      </c>
      <c r="M6" s="309"/>
    </row>
    <row r="7" spans="1:13" ht="21.75" customHeight="1">
      <c r="A7">
        <f>A8-A6</f>
        <v>0</v>
      </c>
      <c r="B7" s="78">
        <f>B8-B6</f>
        <v>75</v>
      </c>
      <c r="F7" s="320">
        <v>5</v>
      </c>
      <c r="G7" s="319"/>
      <c r="H7" s="319">
        <v>5</v>
      </c>
      <c r="I7" s="319"/>
      <c r="J7" s="319">
        <v>5</v>
      </c>
      <c r="K7" s="319"/>
      <c r="L7" s="319">
        <v>5</v>
      </c>
      <c r="M7" s="309"/>
    </row>
    <row r="8" spans="1:13" ht="21.75" customHeight="1">
      <c r="A8">
        <v>800</v>
      </c>
      <c r="B8">
        <v>800</v>
      </c>
      <c r="F8" s="320">
        <v>6</v>
      </c>
      <c r="G8" s="319"/>
      <c r="H8" s="319">
        <v>6</v>
      </c>
      <c r="I8" s="319"/>
      <c r="J8" s="319">
        <v>6</v>
      </c>
      <c r="K8" s="319"/>
      <c r="L8" s="319">
        <v>6</v>
      </c>
      <c r="M8" s="309"/>
    </row>
    <row r="9" spans="1:13" ht="21.75" customHeight="1">
      <c r="F9" s="320">
        <v>7</v>
      </c>
      <c r="G9" s="319"/>
      <c r="H9" s="319">
        <v>7</v>
      </c>
      <c r="I9" s="319"/>
      <c r="J9" s="319"/>
      <c r="K9" s="319"/>
      <c r="L9" s="319"/>
      <c r="M9" s="309"/>
    </row>
    <row r="10" spans="1:13" ht="21.75" customHeight="1">
      <c r="F10" s="320">
        <v>8</v>
      </c>
      <c r="G10" s="319"/>
      <c r="H10" s="319">
        <v>8</v>
      </c>
      <c r="I10" s="319"/>
      <c r="J10" s="319"/>
      <c r="K10" s="319"/>
      <c r="L10" s="319"/>
      <c r="M10" s="309"/>
    </row>
    <row r="11" spans="1:13" ht="21.75" customHeight="1">
      <c r="F11" s="321"/>
      <c r="G11" s="308"/>
      <c r="H11" s="308"/>
      <c r="I11" s="308"/>
      <c r="J11" s="308"/>
      <c r="K11" s="308"/>
      <c r="L11" s="308"/>
      <c r="M11" s="309"/>
    </row>
    <row r="12" spans="1:13" ht="21.75" customHeight="1">
      <c r="F12" s="321"/>
      <c r="G12" s="308"/>
      <c r="H12" s="308"/>
      <c r="I12" s="308"/>
      <c r="J12" s="308"/>
      <c r="K12" s="308"/>
      <c r="L12" s="308"/>
      <c r="M12" s="309"/>
    </row>
    <row r="13" spans="1:13" ht="21.75" customHeight="1">
      <c r="F13" s="321"/>
      <c r="G13" s="308"/>
      <c r="H13" s="308"/>
      <c r="I13" s="308"/>
      <c r="J13" s="308"/>
      <c r="K13" s="308"/>
      <c r="L13" s="308"/>
      <c r="M13" s="309"/>
    </row>
    <row r="14" spans="1:13" ht="21.75" customHeight="1">
      <c r="F14" s="321"/>
      <c r="G14" s="308"/>
      <c r="H14" s="308"/>
      <c r="I14" s="308"/>
      <c r="J14" s="308"/>
      <c r="K14" s="308"/>
      <c r="L14" s="308"/>
      <c r="M14" s="309"/>
    </row>
    <row r="15" spans="1:13" ht="21.75" customHeight="1">
      <c r="F15" s="321"/>
      <c r="G15" s="308"/>
      <c r="H15" s="308"/>
      <c r="I15" s="308"/>
      <c r="J15" s="308"/>
      <c r="K15" s="308"/>
      <c r="L15" s="308"/>
      <c r="M15" s="309"/>
    </row>
    <row r="16" spans="1:13" ht="21.75" customHeight="1">
      <c r="F16" s="321"/>
      <c r="G16" s="308"/>
      <c r="H16" s="308"/>
      <c r="I16" s="308"/>
      <c r="J16" s="308"/>
      <c r="K16" s="308"/>
      <c r="L16" s="308"/>
      <c r="M16" s="309"/>
    </row>
    <row r="17" spans="1:13" ht="21.75" customHeight="1">
      <c r="F17" s="321"/>
      <c r="G17" s="308"/>
      <c r="H17" s="308"/>
      <c r="I17" s="308"/>
      <c r="J17" s="308"/>
      <c r="K17" s="308"/>
      <c r="L17" s="308"/>
      <c r="M17" s="309"/>
    </row>
    <row r="18" spans="1:13" ht="21.75" customHeight="1">
      <c r="F18" s="321"/>
      <c r="G18" s="308"/>
      <c r="H18" s="308"/>
      <c r="I18" s="308"/>
      <c r="J18" s="308"/>
      <c r="K18" s="308"/>
      <c r="L18" s="308"/>
      <c r="M18" s="309"/>
    </row>
    <row r="19" spans="1:13" ht="21.75" customHeight="1" thickBot="1">
      <c r="F19" s="310"/>
      <c r="G19" s="311"/>
      <c r="H19" s="311"/>
      <c r="I19" s="311"/>
      <c r="J19" s="311"/>
      <c r="K19" s="311"/>
      <c r="L19" s="311"/>
      <c r="M19" s="313"/>
    </row>
    <row r="20" spans="1:13" s="78" customFormat="1" ht="21.75" customHeight="1" thickTop="1">
      <c r="A20" s="78">
        <v>24</v>
      </c>
      <c r="B20" s="78">
        <v>20</v>
      </c>
      <c r="F20" s="572" t="s">
        <v>628</v>
      </c>
      <c r="G20" s="573"/>
      <c r="H20" s="573"/>
      <c r="I20" s="573"/>
      <c r="J20" s="573"/>
      <c r="K20" s="573"/>
      <c r="L20" s="573"/>
      <c r="M20" s="574"/>
    </row>
    <row r="21" spans="1:13" s="78" customFormat="1" ht="21.75" customHeight="1">
      <c r="A21" s="78">
        <v>150</v>
      </c>
      <c r="B21" s="78">
        <v>160</v>
      </c>
      <c r="F21" s="320" t="s">
        <v>629</v>
      </c>
      <c r="G21" s="319"/>
      <c r="H21" s="319" t="s">
        <v>630</v>
      </c>
      <c r="I21" s="319"/>
      <c r="J21" s="319" t="s">
        <v>631</v>
      </c>
      <c r="K21" s="319"/>
      <c r="L21" s="319" t="s">
        <v>632</v>
      </c>
      <c r="M21" s="309"/>
    </row>
    <row r="22" spans="1:13" s="78" customFormat="1" ht="21.75" customHeight="1">
      <c r="A22" s="78">
        <v>174</v>
      </c>
      <c r="B22" s="78">
        <v>150</v>
      </c>
      <c r="F22" s="320">
        <v>1</v>
      </c>
      <c r="G22" s="319"/>
      <c r="H22" s="319">
        <v>1</v>
      </c>
      <c r="I22" s="319"/>
      <c r="J22" s="319">
        <v>1</v>
      </c>
      <c r="K22" s="319"/>
      <c r="L22" s="319">
        <v>1</v>
      </c>
      <c r="M22" s="309"/>
    </row>
    <row r="23" spans="1:13" s="78" customFormat="1" ht="21.75" customHeight="1">
      <c r="A23" s="78">
        <v>331</v>
      </c>
      <c r="B23" s="78">
        <v>129</v>
      </c>
      <c r="F23" s="320">
        <v>2</v>
      </c>
      <c r="G23" s="319"/>
      <c r="H23" s="319">
        <v>2</v>
      </c>
      <c r="I23" s="319"/>
      <c r="J23" s="319">
        <v>2</v>
      </c>
      <c r="K23" s="319"/>
      <c r="L23" s="319">
        <v>2</v>
      </c>
      <c r="M23" s="309"/>
    </row>
    <row r="24" spans="1:13" s="78" customFormat="1" ht="21.75" customHeight="1">
      <c r="A24" s="78">
        <v>145</v>
      </c>
      <c r="B24" s="78">
        <v>286</v>
      </c>
      <c r="F24" s="320">
        <v>3</v>
      </c>
      <c r="G24" s="319"/>
      <c r="H24" s="319">
        <v>3</v>
      </c>
      <c r="I24" s="319"/>
      <c r="J24" s="319">
        <v>3</v>
      </c>
      <c r="K24" s="319"/>
      <c r="L24" s="319">
        <v>3</v>
      </c>
      <c r="M24" s="309"/>
    </row>
    <row r="25" spans="1:13" s="78" customFormat="1" ht="21.75" customHeight="1">
      <c r="A25" s="78">
        <f>SUM(A21:A24)</f>
        <v>800</v>
      </c>
      <c r="B25" s="78">
        <f>SUM(B21:B24)</f>
        <v>725</v>
      </c>
      <c r="F25" s="320">
        <v>4</v>
      </c>
      <c r="G25" s="319"/>
      <c r="H25" s="319">
        <v>4</v>
      </c>
      <c r="I25" s="319"/>
      <c r="J25" s="319">
        <v>4</v>
      </c>
      <c r="K25" s="319"/>
      <c r="L25" s="319">
        <v>4</v>
      </c>
      <c r="M25" s="309"/>
    </row>
    <row r="26" spans="1:13" s="78" customFormat="1" ht="21.75" customHeight="1">
      <c r="A26" s="78">
        <f>A27-A25</f>
        <v>0</v>
      </c>
      <c r="B26" s="78">
        <f>B27-B25</f>
        <v>75</v>
      </c>
      <c r="F26" s="320">
        <v>5</v>
      </c>
      <c r="G26" s="319"/>
      <c r="H26" s="319">
        <v>5</v>
      </c>
      <c r="I26" s="319"/>
      <c r="J26" s="319">
        <v>5</v>
      </c>
      <c r="K26" s="319"/>
      <c r="L26" s="319">
        <v>5</v>
      </c>
      <c r="M26" s="309"/>
    </row>
    <row r="27" spans="1:13" s="78" customFormat="1" ht="21.75" customHeight="1">
      <c r="A27" s="78">
        <v>800</v>
      </c>
      <c r="B27" s="78">
        <v>800</v>
      </c>
      <c r="F27" s="320">
        <v>6</v>
      </c>
      <c r="G27" s="319"/>
      <c r="H27" s="319">
        <v>6</v>
      </c>
      <c r="I27" s="319"/>
      <c r="J27" s="319">
        <v>6</v>
      </c>
      <c r="K27" s="319"/>
      <c r="L27" s="319">
        <v>6</v>
      </c>
      <c r="M27" s="309"/>
    </row>
    <row r="28" spans="1:13" s="78" customFormat="1" ht="21.75" customHeight="1">
      <c r="F28" s="320">
        <v>7</v>
      </c>
      <c r="G28" s="319"/>
      <c r="H28" s="319">
        <v>7</v>
      </c>
      <c r="I28" s="319"/>
      <c r="J28" s="319"/>
      <c r="K28" s="319"/>
      <c r="L28" s="319"/>
      <c r="M28" s="309"/>
    </row>
    <row r="29" spans="1:13" s="78" customFormat="1" ht="21.75" customHeight="1">
      <c r="F29" s="320">
        <v>8</v>
      </c>
      <c r="G29" s="319"/>
      <c r="H29" s="319">
        <v>8</v>
      </c>
      <c r="I29" s="319"/>
      <c r="J29" s="319"/>
      <c r="K29" s="319"/>
      <c r="L29" s="319"/>
      <c r="M29" s="309"/>
    </row>
    <row r="30" spans="1:13" s="78" customFormat="1" ht="21.75" customHeight="1">
      <c r="F30" s="321"/>
      <c r="G30" s="308"/>
      <c r="H30" s="308"/>
      <c r="I30" s="308"/>
      <c r="J30" s="308"/>
      <c r="K30" s="308"/>
      <c r="L30" s="308"/>
      <c r="M30" s="309"/>
    </row>
    <row r="31" spans="1:13" s="78" customFormat="1" ht="21.75" customHeight="1">
      <c r="F31" s="321"/>
      <c r="G31" s="308"/>
      <c r="H31" s="308"/>
      <c r="I31" s="308"/>
      <c r="J31" s="308"/>
      <c r="K31" s="308"/>
      <c r="L31" s="308"/>
      <c r="M31" s="309"/>
    </row>
    <row r="32" spans="1:13" s="78" customFormat="1" ht="21.75" customHeight="1">
      <c r="F32" s="321"/>
      <c r="G32" s="308"/>
      <c r="H32" s="308"/>
      <c r="I32" s="308"/>
      <c r="J32" s="308"/>
      <c r="K32" s="308"/>
      <c r="L32" s="308"/>
      <c r="M32" s="309"/>
    </row>
    <row r="33" spans="6:13" s="78" customFormat="1" ht="21.75" customHeight="1">
      <c r="F33" s="321"/>
      <c r="G33" s="308"/>
      <c r="H33" s="308"/>
      <c r="I33" s="308"/>
      <c r="J33" s="308"/>
      <c r="K33" s="308"/>
      <c r="L33" s="308"/>
      <c r="M33" s="309"/>
    </row>
    <row r="34" spans="6:13" s="78" customFormat="1" ht="21.75" customHeight="1">
      <c r="F34" s="321"/>
      <c r="G34" s="308"/>
      <c r="H34" s="308"/>
      <c r="I34" s="308"/>
      <c r="J34" s="308"/>
      <c r="K34" s="308"/>
      <c r="L34" s="308"/>
      <c r="M34" s="309"/>
    </row>
    <row r="35" spans="6:13" s="78" customFormat="1" ht="21.75" customHeight="1">
      <c r="F35" s="321"/>
      <c r="G35" s="308"/>
      <c r="H35" s="308"/>
      <c r="I35" s="308"/>
      <c r="J35" s="308"/>
      <c r="K35" s="308"/>
      <c r="L35" s="308"/>
      <c r="M35" s="309"/>
    </row>
    <row r="36" spans="6:13" s="78" customFormat="1" ht="21.75" customHeight="1">
      <c r="F36" s="321"/>
      <c r="G36" s="308"/>
      <c r="H36" s="308"/>
      <c r="I36" s="308"/>
      <c r="J36" s="308"/>
      <c r="K36" s="308"/>
      <c r="L36" s="308"/>
      <c r="M36" s="309"/>
    </row>
    <row r="37" spans="6:13" s="78" customFormat="1" ht="21.75" customHeight="1">
      <c r="F37" s="321"/>
      <c r="G37" s="308"/>
      <c r="H37" s="308"/>
      <c r="I37" s="308"/>
      <c r="J37" s="308"/>
      <c r="K37" s="308"/>
      <c r="L37" s="308"/>
      <c r="M37" s="309"/>
    </row>
    <row r="38" spans="6:13" s="78" customFormat="1" ht="21.75" customHeight="1" thickBot="1">
      <c r="F38" s="310"/>
      <c r="G38" s="311"/>
      <c r="H38" s="311"/>
      <c r="I38" s="311"/>
      <c r="J38" s="311"/>
      <c r="K38" s="311"/>
      <c r="L38" s="311"/>
      <c r="M38" s="313"/>
    </row>
    <row r="39" spans="6:13" ht="17.25" thickTop="1"/>
  </sheetData>
  <mergeCells count="2">
    <mergeCell ref="F1:M1"/>
    <mergeCell ref="F20:M20"/>
  </mergeCells>
  <phoneticPr fontId="2" type="noConversion"/>
  <pageMargins left="0.39370078740157483" right="0.19685039370078741" top="0.39370078740157483" bottom="0.39370078740157483" header="0" footer="0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"/>
  <sheetViews>
    <sheetView workbookViewId="0">
      <selection activeCell="E16" sqref="E16"/>
    </sheetView>
  </sheetViews>
  <sheetFormatPr defaultRowHeight="16.5"/>
  <cols>
    <col min="1" max="1" width="16.75" customWidth="1"/>
  </cols>
  <sheetData>
    <row r="1" spans="1:7">
      <c r="A1" t="s">
        <v>957</v>
      </c>
      <c r="B1" t="s">
        <v>958</v>
      </c>
      <c r="C1" t="s">
        <v>959</v>
      </c>
      <c r="D1" t="s">
        <v>960</v>
      </c>
      <c r="E1" t="s">
        <v>961</v>
      </c>
      <c r="F1" t="s">
        <v>962</v>
      </c>
      <c r="G1" t="s">
        <v>963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tabSelected="1" workbookViewId="0">
      <selection activeCell="E7" sqref="E7"/>
    </sheetView>
  </sheetViews>
  <sheetFormatPr defaultRowHeight="50.25"/>
  <cols>
    <col min="1" max="1" width="16.25" style="57" customWidth="1"/>
    <col min="2" max="2" width="10.875" style="10" customWidth="1"/>
    <col min="3" max="3" width="9.25" style="10" customWidth="1"/>
    <col min="4" max="4" width="10.875" style="10" customWidth="1"/>
    <col min="5" max="5" width="20" style="70" customWidth="1"/>
    <col min="6" max="6" width="10.875" style="10" customWidth="1"/>
    <col min="7" max="7" width="18.5" style="10" customWidth="1"/>
    <col min="8" max="8" width="11.625" style="10" customWidth="1"/>
    <col min="9" max="9" width="32.625" style="10" customWidth="1"/>
    <col min="10" max="10" width="9" style="10"/>
  </cols>
  <sheetData>
    <row r="1" spans="1:10" ht="32.25" customHeight="1">
      <c r="A1" s="456" t="s">
        <v>965</v>
      </c>
      <c r="B1" s="456"/>
      <c r="C1" s="456"/>
      <c r="D1" s="456"/>
      <c r="E1" s="456"/>
      <c r="F1" s="456"/>
      <c r="G1" s="456"/>
      <c r="H1" s="456"/>
      <c r="I1" s="370" t="s">
        <v>966</v>
      </c>
      <c r="J1"/>
    </row>
    <row r="2" spans="1:10" s="63" customFormat="1" ht="34.5" customHeight="1">
      <c r="A2" s="454" t="s">
        <v>228</v>
      </c>
      <c r="B2" s="454"/>
      <c r="C2" s="454"/>
      <c r="D2" s="454"/>
      <c r="E2" s="454"/>
      <c r="F2" s="454"/>
      <c r="G2" s="454"/>
      <c r="H2" s="454"/>
      <c r="I2" s="454"/>
    </row>
    <row r="3" spans="1:10" s="63" customFormat="1" ht="44.25" customHeight="1">
      <c r="A3" s="64" t="s">
        <v>217</v>
      </c>
      <c r="B3" s="65" t="s">
        <v>218</v>
      </c>
      <c r="C3" s="66">
        <v>15</v>
      </c>
      <c r="D3" s="67" t="s">
        <v>219</v>
      </c>
      <c r="E3" s="68" t="str">
        <f>IF(C3=0,"",VLOOKUP(C3,緊急聯絡!$A$2:$I$28,3))</f>
        <v>藍彩華</v>
      </c>
      <c r="F3" s="65" t="s">
        <v>220</v>
      </c>
      <c r="G3" s="68" t="str">
        <f>IF(C3=0,"",VLOOKUP(C3,緊急聯絡!$A$2:$N$28,7))</f>
        <v>藍慰育</v>
      </c>
      <c r="H3" s="65" t="s">
        <v>221</v>
      </c>
      <c r="I3" s="68" t="str">
        <f>IF(C3=0,"",VLOOKUP(C3,緊急聯絡!$A$2:$N$28,13))</f>
        <v>0933127441</v>
      </c>
      <c r="J3" s="69"/>
    </row>
    <row r="4" spans="1:10" s="63" customFormat="1" ht="44.25" customHeight="1">
      <c r="A4" s="64" t="s">
        <v>222</v>
      </c>
      <c r="B4" s="65" t="s">
        <v>218</v>
      </c>
      <c r="C4" s="66">
        <v>14</v>
      </c>
      <c r="D4" s="67" t="s">
        <v>219</v>
      </c>
      <c r="E4" s="68" t="str">
        <f>IF(C4=0,"",VLOOKUP(C4,緊急聯絡!$A$2:$I$28,3))</f>
        <v>高翊庭</v>
      </c>
      <c r="F4" s="65" t="s">
        <v>220</v>
      </c>
      <c r="G4" s="68" t="str">
        <f>IF(C4=0,"",VLOOKUP(C4,緊急聯絡!$A$2:$N$28,9))</f>
        <v>楊芳宜</v>
      </c>
      <c r="H4" s="65" t="s">
        <v>221</v>
      </c>
      <c r="I4" s="68" t="str">
        <f>IF(C4=0,"",VLOOKUP(C4,緊急聯絡!$A$2:$N$28,13))</f>
        <v>0919553163</v>
      </c>
      <c r="J4" s="69"/>
    </row>
    <row r="5" spans="1:10" s="63" customFormat="1" ht="44.25" customHeight="1">
      <c r="A5" s="64" t="s">
        <v>222</v>
      </c>
      <c r="B5" s="65" t="s">
        <v>218</v>
      </c>
      <c r="C5" s="66">
        <v>7</v>
      </c>
      <c r="D5" s="67" t="s">
        <v>219</v>
      </c>
      <c r="E5" s="68" t="str">
        <f>IF(C5=0,"",VLOOKUP(C5,緊急聯絡!$A$2:$I$28,3))</f>
        <v>葉彥均</v>
      </c>
      <c r="F5" s="65" t="s">
        <v>220</v>
      </c>
      <c r="G5" s="68" t="str">
        <f>IF(C5=0,"",VLOOKUP(C5,緊急聯絡!$A$2:$N$28,11))</f>
        <v>葉昱彤</v>
      </c>
      <c r="H5" s="65" t="s">
        <v>221</v>
      </c>
      <c r="I5" s="68" t="str">
        <f>IF(C5=0,"",VLOOKUP(C5,緊急聯絡!$A$2:$N$28,13))</f>
        <v>0966631126</v>
      </c>
      <c r="J5" s="69"/>
    </row>
    <row r="6" spans="1:10" ht="44.25" customHeight="1">
      <c r="A6" s="64" t="s">
        <v>223</v>
      </c>
      <c r="B6" s="65" t="s">
        <v>218</v>
      </c>
      <c r="C6" s="66">
        <v>17</v>
      </c>
      <c r="D6" s="67" t="s">
        <v>219</v>
      </c>
      <c r="E6" s="68" t="str">
        <f>IF(C6=0,"",VLOOKUP(C6,緊急聯絡!$A$2:$I$28,3))</f>
        <v>張智函</v>
      </c>
      <c r="F6" s="65" t="s">
        <v>220</v>
      </c>
      <c r="G6" s="68" t="str">
        <f>IF(C6=0,"",VLOOKUP(C6,緊急聯絡!$A$2:$N$28,11))</f>
        <v>侯麗華</v>
      </c>
      <c r="H6" s="65" t="s">
        <v>221</v>
      </c>
      <c r="I6" s="68" t="str">
        <f>IF(C6=0,"",VLOOKUP(C6,緊急聯絡!$A$2:$N$28,13))</f>
        <v>0928803213</v>
      </c>
    </row>
    <row r="7" spans="1:10" ht="44.25" customHeight="1">
      <c r="A7" s="64" t="s">
        <v>224</v>
      </c>
      <c r="B7" s="65" t="s">
        <v>218</v>
      </c>
      <c r="C7" s="66"/>
      <c r="D7" s="67" t="s">
        <v>219</v>
      </c>
      <c r="E7" s="68" t="str">
        <f>IF(C7=0,"",VLOOKUP(C7,緊急聯絡!$A$2:$I$28,3))</f>
        <v/>
      </c>
      <c r="F7" s="65" t="s">
        <v>220</v>
      </c>
      <c r="G7" s="68" t="str">
        <f>IF(C7=0,"",VLOOKUP(C7,緊急聯絡!$A$2:$N$28,11))</f>
        <v/>
      </c>
      <c r="H7" s="65" t="s">
        <v>221</v>
      </c>
      <c r="I7" s="68" t="str">
        <f>IF(C7=0,"",VLOOKUP(C7,緊急聯絡!$A$2:$N$28,13))</f>
        <v/>
      </c>
    </row>
    <row r="8" spans="1:10" ht="44.25" customHeight="1">
      <c r="A8" s="64" t="s">
        <v>225</v>
      </c>
      <c r="B8" s="65" t="s">
        <v>218</v>
      </c>
      <c r="C8" s="66"/>
      <c r="D8" s="67" t="s">
        <v>219</v>
      </c>
      <c r="E8" s="68" t="str">
        <f>IF(C8=0,"",VLOOKUP(C8,緊急聯絡!$A$2:$I$28,3))</f>
        <v/>
      </c>
      <c r="F8" s="65" t="s">
        <v>220</v>
      </c>
      <c r="G8" s="68" t="str">
        <f>IF(C8=0,"",VLOOKUP(C8,緊急聯絡!$A$2:$N$28,11))</f>
        <v/>
      </c>
      <c r="H8" s="65" t="s">
        <v>221</v>
      </c>
      <c r="I8" s="68" t="str">
        <f>IF(C8=0,"",VLOOKUP(C8,緊急聯絡!$A$2:$N$28,13))</f>
        <v/>
      </c>
    </row>
    <row r="9" spans="1:10" ht="44.25" customHeight="1">
      <c r="A9" s="64" t="s">
        <v>226</v>
      </c>
      <c r="B9" s="65" t="s">
        <v>218</v>
      </c>
      <c r="C9" s="66"/>
      <c r="D9" s="67" t="s">
        <v>219</v>
      </c>
      <c r="E9" s="68" t="str">
        <f>IF(C9=0,"",VLOOKUP(C9,緊急聯絡!$A$2:$I$28,3))</f>
        <v/>
      </c>
      <c r="F9" s="65" t="s">
        <v>220</v>
      </c>
      <c r="G9" s="68" t="str">
        <f>IF(C9=0,"",VLOOKUP(C9,緊急聯絡!$A$2:$N$28,11))</f>
        <v/>
      </c>
      <c r="H9" s="65" t="s">
        <v>221</v>
      </c>
      <c r="I9" s="68" t="str">
        <f>IF(C9=0,"",VLOOKUP(C9,緊急聯絡!$A$2:$N$28,13))</f>
        <v/>
      </c>
    </row>
    <row r="10" spans="1:10" ht="50.25" customHeight="1">
      <c r="A10" s="455" t="s">
        <v>227</v>
      </c>
      <c r="B10" s="455"/>
      <c r="C10" s="455"/>
      <c r="D10" s="455"/>
      <c r="E10" s="455"/>
      <c r="F10" s="455"/>
      <c r="G10" s="455"/>
      <c r="H10" s="455"/>
      <c r="I10" s="455"/>
    </row>
  </sheetData>
  <mergeCells count="3">
    <mergeCell ref="A2:I2"/>
    <mergeCell ref="A10:I10"/>
    <mergeCell ref="A1:H1"/>
  </mergeCells>
  <phoneticPr fontId="2" type="noConversion"/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9"/>
  <sheetViews>
    <sheetView topLeftCell="A13" workbookViewId="0">
      <selection activeCell="B2" sqref="B2:D2"/>
    </sheetView>
  </sheetViews>
  <sheetFormatPr defaultRowHeight="180"/>
  <cols>
    <col min="1" max="1" width="24.625" style="328" customWidth="1"/>
    <col min="2" max="2" width="24.625" style="329" customWidth="1"/>
    <col min="3" max="5" width="24.625" style="78" customWidth="1"/>
    <col min="6" max="8" width="21.875" style="78" customWidth="1"/>
    <col min="9" max="16384" width="9" style="78"/>
  </cols>
  <sheetData>
    <row r="1" spans="1:4" s="330" customFormat="1" ht="137.25" customHeight="1">
      <c r="A1" s="336">
        <v>1</v>
      </c>
      <c r="B1" s="457" t="s">
        <v>633</v>
      </c>
      <c r="C1" s="457"/>
      <c r="D1" s="457"/>
    </row>
    <row r="2" spans="1:4" s="330" customFormat="1" ht="137.25" customHeight="1">
      <c r="A2" s="336">
        <v>2</v>
      </c>
      <c r="B2" s="457" t="s">
        <v>634</v>
      </c>
      <c r="C2" s="457"/>
      <c r="D2" s="457"/>
    </row>
    <row r="3" spans="1:4" s="330" customFormat="1" ht="137.25" customHeight="1">
      <c r="A3" s="336">
        <v>3</v>
      </c>
      <c r="B3" s="457" t="s">
        <v>635</v>
      </c>
      <c r="C3" s="457"/>
      <c r="D3" s="457"/>
    </row>
    <row r="4" spans="1:4" s="330" customFormat="1" ht="137.25" customHeight="1">
      <c r="A4" s="336">
        <v>4</v>
      </c>
      <c r="B4" s="457" t="s">
        <v>636</v>
      </c>
      <c r="C4" s="457"/>
      <c r="D4" s="457"/>
    </row>
    <row r="5" spans="1:4" s="330" customFormat="1" ht="137.25" customHeight="1">
      <c r="A5" s="336">
        <v>5</v>
      </c>
      <c r="B5" s="457" t="s">
        <v>637</v>
      </c>
      <c r="C5" s="457"/>
      <c r="D5" s="457"/>
    </row>
    <row r="6" spans="1:4" s="330" customFormat="1" ht="137.25" customHeight="1">
      <c r="A6" s="336">
        <v>6</v>
      </c>
      <c r="B6" s="457" t="s">
        <v>638</v>
      </c>
      <c r="C6" s="457"/>
      <c r="D6" s="457"/>
    </row>
    <row r="7" spans="1:4" s="330" customFormat="1" ht="140.25" customHeight="1">
      <c r="A7" s="336">
        <v>7</v>
      </c>
      <c r="B7" s="457" t="s">
        <v>639</v>
      </c>
      <c r="C7" s="457"/>
      <c r="D7" s="457"/>
    </row>
    <row r="8" spans="1:4" s="330" customFormat="1" ht="140.25" customHeight="1">
      <c r="A8" s="336">
        <v>8</v>
      </c>
      <c r="B8" s="457" t="s">
        <v>640</v>
      </c>
      <c r="C8" s="457"/>
      <c r="D8" s="457"/>
    </row>
    <row r="9" spans="1:4" s="330" customFormat="1" ht="140.25" customHeight="1">
      <c r="A9" s="336">
        <v>9</v>
      </c>
      <c r="B9" s="457" t="s">
        <v>641</v>
      </c>
      <c r="C9" s="457"/>
      <c r="D9" s="457"/>
    </row>
    <row r="10" spans="1:4" s="330" customFormat="1" ht="140.25" customHeight="1">
      <c r="A10" s="336">
        <v>10</v>
      </c>
      <c r="B10" s="457" t="s">
        <v>642</v>
      </c>
      <c r="C10" s="457"/>
      <c r="D10" s="457"/>
    </row>
    <row r="11" spans="1:4" s="330" customFormat="1" ht="140.25" customHeight="1">
      <c r="A11" s="336">
        <v>11</v>
      </c>
      <c r="B11" s="457" t="s">
        <v>643</v>
      </c>
      <c r="C11" s="457"/>
      <c r="D11" s="457"/>
    </row>
    <row r="12" spans="1:4" s="330" customFormat="1" ht="140.25" customHeight="1">
      <c r="A12" s="336">
        <v>12</v>
      </c>
      <c r="B12" s="457" t="s">
        <v>644</v>
      </c>
      <c r="C12" s="457"/>
      <c r="D12" s="457"/>
    </row>
    <row r="13" spans="1:4" s="330" customFormat="1" ht="139.5" customHeight="1">
      <c r="A13" s="336">
        <v>13</v>
      </c>
      <c r="B13" s="457" t="s">
        <v>645</v>
      </c>
      <c r="C13" s="457"/>
      <c r="D13" s="457"/>
    </row>
    <row r="14" spans="1:4" s="330" customFormat="1" ht="139.5" customHeight="1">
      <c r="A14" s="336">
        <v>14</v>
      </c>
      <c r="B14" s="458" t="s">
        <v>646</v>
      </c>
      <c r="C14" s="459"/>
      <c r="D14" s="460"/>
    </row>
    <row r="15" spans="1:4" s="330" customFormat="1" ht="139.5" customHeight="1">
      <c r="A15" s="336">
        <v>15</v>
      </c>
      <c r="B15" s="457" t="s">
        <v>647</v>
      </c>
      <c r="C15" s="457"/>
      <c r="D15" s="457"/>
    </row>
    <row r="16" spans="1:4" s="330" customFormat="1" ht="139.5" customHeight="1">
      <c r="A16" s="336">
        <v>16</v>
      </c>
      <c r="B16" s="457" t="s">
        <v>648</v>
      </c>
      <c r="C16" s="457"/>
      <c r="D16" s="457"/>
    </row>
    <row r="17" spans="1:4" s="330" customFormat="1" ht="139.5" customHeight="1">
      <c r="A17" s="336">
        <v>17</v>
      </c>
      <c r="B17" s="457" t="s">
        <v>649</v>
      </c>
      <c r="C17" s="457"/>
      <c r="D17" s="457"/>
    </row>
    <row r="18" spans="1:4" s="330" customFormat="1" ht="139.5" customHeight="1">
      <c r="A18" s="336">
        <v>18</v>
      </c>
      <c r="B18" s="457" t="s">
        <v>650</v>
      </c>
      <c r="C18" s="457"/>
      <c r="D18" s="457"/>
    </row>
    <row r="19" spans="1:4" s="330" customFormat="1" ht="139.5" customHeight="1">
      <c r="A19" s="336">
        <v>19</v>
      </c>
      <c r="B19" s="457" t="s">
        <v>651</v>
      </c>
      <c r="C19" s="457"/>
      <c r="D19" s="457"/>
    </row>
    <row r="20" spans="1:4" s="330" customFormat="1" ht="139.5" customHeight="1">
      <c r="A20" s="336">
        <v>20</v>
      </c>
      <c r="B20" s="457" t="s">
        <v>652</v>
      </c>
      <c r="C20" s="457"/>
      <c r="D20" s="457"/>
    </row>
    <row r="21" spans="1:4" s="330" customFormat="1" ht="139.5" customHeight="1">
      <c r="A21" s="336">
        <v>21</v>
      </c>
      <c r="B21" s="457" t="s">
        <v>653</v>
      </c>
      <c r="C21" s="457"/>
      <c r="D21" s="457"/>
    </row>
    <row r="22" spans="1:4" s="330" customFormat="1" ht="139.5" customHeight="1">
      <c r="A22" s="336">
        <v>22</v>
      </c>
      <c r="B22" s="457" t="s">
        <v>654</v>
      </c>
      <c r="C22" s="457"/>
      <c r="D22" s="457"/>
    </row>
    <row r="23" spans="1:4" s="330" customFormat="1" ht="139.5" customHeight="1">
      <c r="A23" s="336">
        <v>23</v>
      </c>
      <c r="B23" s="457" t="s">
        <v>655</v>
      </c>
      <c r="C23" s="457"/>
      <c r="D23" s="457"/>
    </row>
    <row r="24" spans="1:4" s="330" customFormat="1" ht="139.5" customHeight="1">
      <c r="A24" s="336">
        <v>24</v>
      </c>
      <c r="B24" s="457" t="s">
        <v>656</v>
      </c>
      <c r="C24" s="457"/>
      <c r="D24" s="457"/>
    </row>
    <row r="25" spans="1:4" s="330" customFormat="1" ht="134.25" customHeight="1">
      <c r="A25" s="336">
        <v>25</v>
      </c>
      <c r="B25" s="457" t="s">
        <v>657</v>
      </c>
      <c r="C25" s="457"/>
      <c r="D25" s="457"/>
    </row>
    <row r="26" spans="1:4" s="330" customFormat="1" ht="134.25" customHeight="1">
      <c r="A26" s="336">
        <v>26</v>
      </c>
      <c r="B26" s="457" t="s">
        <v>658</v>
      </c>
      <c r="C26" s="457"/>
      <c r="D26" s="457"/>
    </row>
    <row r="27" spans="1:4" ht="134.25" customHeight="1">
      <c r="A27" s="337">
        <v>1</v>
      </c>
      <c r="B27" s="337">
        <v>2</v>
      </c>
      <c r="C27" s="337">
        <v>3</v>
      </c>
      <c r="D27" s="337">
        <v>4</v>
      </c>
    </row>
    <row r="28" spans="1:4" ht="134.25" customHeight="1">
      <c r="A28" s="337">
        <v>5</v>
      </c>
      <c r="B28" s="337">
        <v>6</v>
      </c>
      <c r="C28" s="337">
        <v>7</v>
      </c>
      <c r="D28" s="337">
        <v>8</v>
      </c>
    </row>
    <row r="29" spans="1:4" ht="134.25" customHeight="1">
      <c r="A29" s="337">
        <v>9</v>
      </c>
      <c r="B29" s="337">
        <v>10</v>
      </c>
      <c r="C29" s="337">
        <v>11</v>
      </c>
      <c r="D29" s="337">
        <v>12</v>
      </c>
    </row>
    <row r="30" spans="1:4" ht="134.25" customHeight="1">
      <c r="A30" s="337">
        <v>13</v>
      </c>
      <c r="B30" s="337">
        <v>14</v>
      </c>
      <c r="C30" s="337">
        <v>15</v>
      </c>
      <c r="D30" s="337">
        <v>16</v>
      </c>
    </row>
    <row r="31" spans="1:4" ht="134.25" customHeight="1">
      <c r="A31" s="337">
        <v>17</v>
      </c>
      <c r="B31" s="337">
        <v>18</v>
      </c>
      <c r="C31" s="337">
        <v>19</v>
      </c>
      <c r="D31" s="337">
        <v>20</v>
      </c>
    </row>
    <row r="32" spans="1:4" ht="134.25" customHeight="1">
      <c r="A32" s="337">
        <v>21</v>
      </c>
      <c r="B32" s="337">
        <v>22</v>
      </c>
      <c r="C32" s="337">
        <v>23</v>
      </c>
      <c r="D32" s="337">
        <v>24</v>
      </c>
    </row>
    <row r="33" spans="1:4" ht="134.25" customHeight="1">
      <c r="A33" s="337">
        <v>25</v>
      </c>
      <c r="B33" s="337">
        <v>26</v>
      </c>
      <c r="C33" s="337">
        <v>1</v>
      </c>
      <c r="D33" s="337">
        <v>2</v>
      </c>
    </row>
    <row r="34" spans="1:4" ht="134.25" customHeight="1">
      <c r="A34" s="337">
        <v>3</v>
      </c>
      <c r="B34" s="337">
        <v>4</v>
      </c>
      <c r="C34" s="337">
        <v>5</v>
      </c>
      <c r="D34" s="337">
        <v>6</v>
      </c>
    </row>
    <row r="35" spans="1:4" ht="134.25" customHeight="1">
      <c r="A35" s="337">
        <v>7</v>
      </c>
      <c r="B35" s="337">
        <v>8</v>
      </c>
      <c r="C35" s="337">
        <v>9</v>
      </c>
      <c r="D35" s="337">
        <v>10</v>
      </c>
    </row>
    <row r="36" spans="1:4" ht="134.25" customHeight="1">
      <c r="A36" s="337">
        <v>11</v>
      </c>
      <c r="B36" s="337">
        <v>12</v>
      </c>
      <c r="C36" s="337">
        <v>13</v>
      </c>
      <c r="D36" s="337">
        <v>14</v>
      </c>
    </row>
    <row r="37" spans="1:4" ht="134.25" customHeight="1">
      <c r="A37" s="337">
        <v>15</v>
      </c>
      <c r="B37" s="337">
        <v>16</v>
      </c>
      <c r="C37" s="337">
        <v>17</v>
      </c>
      <c r="D37" s="337">
        <v>18</v>
      </c>
    </row>
    <row r="38" spans="1:4" ht="134.25" customHeight="1">
      <c r="A38" s="337">
        <v>19</v>
      </c>
      <c r="B38" s="337">
        <v>20</v>
      </c>
      <c r="C38" s="337">
        <v>21</v>
      </c>
      <c r="D38" s="337">
        <v>22</v>
      </c>
    </row>
    <row r="39" spans="1:4" ht="134.25" customHeight="1">
      <c r="A39" s="337">
        <v>23</v>
      </c>
      <c r="B39" s="337">
        <v>24</v>
      </c>
      <c r="C39" s="337">
        <v>25</v>
      </c>
      <c r="D39" s="337">
        <v>26</v>
      </c>
    </row>
  </sheetData>
  <mergeCells count="26">
    <mergeCell ref="B26:D26"/>
    <mergeCell ref="B14:D14"/>
    <mergeCell ref="B20:D20"/>
    <mergeCell ref="B21:D21"/>
    <mergeCell ref="B22:D22"/>
    <mergeCell ref="B23:D23"/>
    <mergeCell ref="B24:D24"/>
    <mergeCell ref="B25:D25"/>
    <mergeCell ref="B19:D19"/>
    <mergeCell ref="B13:D13"/>
    <mergeCell ref="B15:D15"/>
    <mergeCell ref="B16:D16"/>
    <mergeCell ref="B17:D17"/>
    <mergeCell ref="B18:D18"/>
    <mergeCell ref="B12:D12"/>
    <mergeCell ref="B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</mergeCells>
  <phoneticPr fontId="2" type="noConversion"/>
  <pageMargins left="0.19685039370078741" right="0.19685039370078741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1"/>
  <sheetViews>
    <sheetView workbookViewId="0">
      <selection activeCell="N13" sqref="N13"/>
    </sheetView>
  </sheetViews>
  <sheetFormatPr defaultRowHeight="16.5"/>
  <cols>
    <col min="1" max="1" width="5" customWidth="1"/>
    <col min="2" max="2" width="7.625" customWidth="1"/>
    <col min="3" max="28" width="4.75" customWidth="1"/>
  </cols>
  <sheetData>
    <row r="1" spans="1:28" ht="18" customHeight="1" thickTop="1">
      <c r="A1" s="461">
        <v>307</v>
      </c>
      <c r="B1" s="462"/>
      <c r="C1" s="4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</row>
    <row r="2" spans="1:28" ht="18" customHeight="1">
      <c r="A2" s="40" t="s">
        <v>102</v>
      </c>
      <c r="B2" s="14" t="s">
        <v>0</v>
      </c>
      <c r="C2" s="27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  <c r="S2" s="15"/>
      <c r="T2" s="15"/>
      <c r="U2" s="15"/>
      <c r="V2" s="15"/>
      <c r="W2" s="15"/>
      <c r="X2" s="15"/>
      <c r="Y2" s="15"/>
      <c r="Z2" s="15"/>
      <c r="AA2" s="15"/>
      <c r="AB2" s="16"/>
    </row>
    <row r="3" spans="1:28" ht="18" customHeight="1">
      <c r="A3" s="13">
        <v>1</v>
      </c>
      <c r="B3" s="14" t="s">
        <v>633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S3" s="15"/>
      <c r="T3" s="15"/>
      <c r="U3" s="15"/>
      <c r="V3" s="15"/>
      <c r="W3" s="15"/>
      <c r="X3" s="15"/>
      <c r="Y3" s="15"/>
      <c r="Z3" s="15"/>
      <c r="AA3" s="15"/>
      <c r="AB3" s="16"/>
    </row>
    <row r="4" spans="1:28" ht="18" customHeight="1">
      <c r="A4" s="13">
        <v>2</v>
      </c>
      <c r="B4" s="14" t="s">
        <v>634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</row>
    <row r="5" spans="1:28" ht="18" customHeight="1">
      <c r="A5" s="13">
        <v>3</v>
      </c>
      <c r="B5" s="14" t="s">
        <v>635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 ht="18" customHeight="1">
      <c r="A6" s="13">
        <v>4</v>
      </c>
      <c r="B6" s="14" t="s">
        <v>636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6"/>
    </row>
    <row r="7" spans="1:28" ht="18" customHeight="1">
      <c r="A7" s="13">
        <v>5</v>
      </c>
      <c r="B7" s="14" t="s">
        <v>637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</row>
    <row r="8" spans="1:28" ht="18" customHeight="1">
      <c r="A8" s="13">
        <v>6</v>
      </c>
      <c r="B8" s="14" t="s">
        <v>638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28" ht="18" customHeight="1">
      <c r="A9" s="13">
        <v>7</v>
      </c>
      <c r="B9" s="14" t="s">
        <v>639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1:28" ht="18" customHeight="1">
      <c r="A10" s="13">
        <v>8</v>
      </c>
      <c r="B10" s="14" t="s">
        <v>640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</row>
    <row r="11" spans="1:28" ht="18" customHeight="1">
      <c r="A11" s="13">
        <v>9</v>
      </c>
      <c r="B11" s="14" t="s">
        <v>641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28" ht="18" customHeight="1">
      <c r="A12" s="13">
        <v>10</v>
      </c>
      <c r="B12" s="14" t="s">
        <v>642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1:28" ht="18" customHeight="1">
      <c r="A13" s="13">
        <v>11</v>
      </c>
      <c r="B13" s="14" t="s">
        <v>643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1:28" ht="18" customHeight="1">
      <c r="A14" s="13">
        <v>12</v>
      </c>
      <c r="B14" s="14" t="s">
        <v>644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/>
    </row>
    <row r="15" spans="1:28" ht="18" customHeight="1">
      <c r="A15" s="13">
        <v>13</v>
      </c>
      <c r="B15" s="14" t="s">
        <v>645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28" ht="18" customHeight="1">
      <c r="A16" s="13">
        <v>14</v>
      </c>
      <c r="B16" s="14" t="s">
        <v>646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/>
    </row>
    <row r="17" spans="1:28" ht="18" customHeight="1">
      <c r="A17" s="13">
        <v>15</v>
      </c>
      <c r="B17" s="14" t="s">
        <v>647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</row>
    <row r="18" spans="1:28" ht="18" customHeight="1">
      <c r="A18" s="13">
        <v>16</v>
      </c>
      <c r="B18" s="14" t="s">
        <v>648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ht="18" customHeight="1">
      <c r="A19" s="13">
        <v>17</v>
      </c>
      <c r="B19" s="14" t="s">
        <v>649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ht="18" customHeight="1">
      <c r="A20" s="13">
        <v>18</v>
      </c>
      <c r="B20" s="14" t="s">
        <v>650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ht="18" customHeight="1">
      <c r="A21" s="13">
        <v>19</v>
      </c>
      <c r="B21" s="14" t="s">
        <v>651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1:28" ht="18" customHeight="1">
      <c r="A22" s="13">
        <v>20</v>
      </c>
      <c r="B22" s="14" t="s">
        <v>652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1:28" ht="18" customHeight="1">
      <c r="A23" s="13">
        <v>21</v>
      </c>
      <c r="B23" s="14" t="s">
        <v>653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</row>
    <row r="24" spans="1:28" ht="18" customHeight="1">
      <c r="A24" s="13">
        <v>22</v>
      </c>
      <c r="B24" s="14" t="s">
        <v>654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18" customHeight="1">
      <c r="A25" s="13">
        <v>23</v>
      </c>
      <c r="B25" s="14" t="s">
        <v>655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18" customHeight="1">
      <c r="A26" s="13">
        <v>24</v>
      </c>
      <c r="B26" s="14" t="s">
        <v>656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</row>
    <row r="27" spans="1:28" ht="18" customHeight="1">
      <c r="A27" s="13">
        <v>25</v>
      </c>
      <c r="B27" s="14" t="s">
        <v>657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18" customHeight="1">
      <c r="A28" s="13">
        <v>26</v>
      </c>
      <c r="B28" s="14" t="s">
        <v>658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</row>
    <row r="29" spans="1:28" s="78" customFormat="1" ht="18" customHeight="1">
      <c r="A29" s="211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49"/>
    </row>
    <row r="30" spans="1:28" ht="18" customHeight="1" thickBo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</row>
    <row r="31" spans="1:28" ht="17.25" thickTop="1"/>
  </sheetData>
  <mergeCells count="1">
    <mergeCell ref="A1:B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2"/>
  <sheetViews>
    <sheetView workbookViewId="0">
      <selection activeCell="A2" sqref="A2:C27"/>
    </sheetView>
  </sheetViews>
  <sheetFormatPr defaultRowHeight="16.5"/>
  <cols>
    <col min="1" max="1" width="3.125" style="9" customWidth="1"/>
    <col min="2" max="2" width="5.5" style="9" customWidth="1"/>
    <col min="3" max="3" width="6.75" style="2" customWidth="1"/>
    <col min="4" max="4" width="9.125" style="9" customWidth="1"/>
    <col min="5" max="5" width="11.125" style="9" customWidth="1"/>
    <col min="6" max="6" width="9.375" style="9" customWidth="1"/>
    <col min="7" max="7" width="5.5" style="9" customWidth="1"/>
    <col min="8" max="8" width="13" style="2" customWidth="1"/>
    <col min="9" max="9" width="5" style="9" customWidth="1"/>
    <col min="10" max="10" width="13.25" style="2" customWidth="1"/>
    <col min="11" max="11" width="5.25" style="9" customWidth="1"/>
    <col min="12" max="12" width="9.75" style="2" customWidth="1"/>
    <col min="13" max="13" width="12.375" style="2" customWidth="1"/>
    <col min="14" max="14" width="8.5" style="366" customWidth="1"/>
    <col min="15" max="15" width="8.5" style="9" customWidth="1"/>
    <col min="16" max="16" width="6.5" style="9" customWidth="1"/>
    <col min="17" max="18" width="9.5" style="9" customWidth="1"/>
    <col min="19" max="19" width="6.375" style="9" customWidth="1"/>
    <col min="20" max="253" width="9" style="2"/>
    <col min="254" max="255" width="13.125" style="2" bestFit="1" customWidth="1"/>
    <col min="256" max="256" width="8.75" style="2" bestFit="1" customWidth="1"/>
    <col min="257" max="257" width="13.125" style="2" bestFit="1" customWidth="1"/>
    <col min="258" max="258" width="17.5" style="2" bestFit="1" customWidth="1"/>
    <col min="259" max="259" width="21.875" style="2" bestFit="1" customWidth="1"/>
    <col min="260" max="261" width="17.5" style="2" bestFit="1" customWidth="1"/>
    <col min="262" max="262" width="21.875" style="2" bestFit="1" customWidth="1"/>
    <col min="263" max="271" width="17.5" style="2" bestFit="1" customWidth="1"/>
    <col min="272" max="509" width="9" style="2"/>
    <col min="510" max="511" width="13.125" style="2" bestFit="1" customWidth="1"/>
    <col min="512" max="512" width="8.75" style="2" bestFit="1" customWidth="1"/>
    <col min="513" max="513" width="13.125" style="2" bestFit="1" customWidth="1"/>
    <col min="514" max="514" width="17.5" style="2" bestFit="1" customWidth="1"/>
    <col min="515" max="515" width="21.875" style="2" bestFit="1" customWidth="1"/>
    <col min="516" max="517" width="17.5" style="2" bestFit="1" customWidth="1"/>
    <col min="518" max="518" width="21.875" style="2" bestFit="1" customWidth="1"/>
    <col min="519" max="527" width="17.5" style="2" bestFit="1" customWidth="1"/>
    <col min="528" max="765" width="9" style="2"/>
    <col min="766" max="767" width="13.125" style="2" bestFit="1" customWidth="1"/>
    <col min="768" max="768" width="8.75" style="2" bestFit="1" customWidth="1"/>
    <col min="769" max="769" width="13.125" style="2" bestFit="1" customWidth="1"/>
    <col min="770" max="770" width="17.5" style="2" bestFit="1" customWidth="1"/>
    <col min="771" max="771" width="21.875" style="2" bestFit="1" customWidth="1"/>
    <col min="772" max="773" width="17.5" style="2" bestFit="1" customWidth="1"/>
    <col min="774" max="774" width="21.875" style="2" bestFit="1" customWidth="1"/>
    <col min="775" max="783" width="17.5" style="2" bestFit="1" customWidth="1"/>
    <col min="784" max="1021" width="9" style="2"/>
    <col min="1022" max="1023" width="13.125" style="2" bestFit="1" customWidth="1"/>
    <col min="1024" max="1024" width="8.75" style="2" bestFit="1" customWidth="1"/>
    <col min="1025" max="1025" width="13.125" style="2" bestFit="1" customWidth="1"/>
    <col min="1026" max="1026" width="17.5" style="2" bestFit="1" customWidth="1"/>
    <col min="1027" max="1027" width="21.875" style="2" bestFit="1" customWidth="1"/>
    <col min="1028" max="1029" width="17.5" style="2" bestFit="1" customWidth="1"/>
    <col min="1030" max="1030" width="21.875" style="2" bestFit="1" customWidth="1"/>
    <col min="1031" max="1039" width="17.5" style="2" bestFit="1" customWidth="1"/>
    <col min="1040" max="1277" width="9" style="2"/>
    <col min="1278" max="1279" width="13.125" style="2" bestFit="1" customWidth="1"/>
    <col min="1280" max="1280" width="8.75" style="2" bestFit="1" customWidth="1"/>
    <col min="1281" max="1281" width="13.125" style="2" bestFit="1" customWidth="1"/>
    <col min="1282" max="1282" width="17.5" style="2" bestFit="1" customWidth="1"/>
    <col min="1283" max="1283" width="21.875" style="2" bestFit="1" customWidth="1"/>
    <col min="1284" max="1285" width="17.5" style="2" bestFit="1" customWidth="1"/>
    <col min="1286" max="1286" width="21.875" style="2" bestFit="1" customWidth="1"/>
    <col min="1287" max="1295" width="17.5" style="2" bestFit="1" customWidth="1"/>
    <col min="1296" max="1533" width="9" style="2"/>
    <col min="1534" max="1535" width="13.125" style="2" bestFit="1" customWidth="1"/>
    <col min="1536" max="1536" width="8.75" style="2" bestFit="1" customWidth="1"/>
    <col min="1537" max="1537" width="13.125" style="2" bestFit="1" customWidth="1"/>
    <col min="1538" max="1538" width="17.5" style="2" bestFit="1" customWidth="1"/>
    <col min="1539" max="1539" width="21.875" style="2" bestFit="1" customWidth="1"/>
    <col min="1540" max="1541" width="17.5" style="2" bestFit="1" customWidth="1"/>
    <col min="1542" max="1542" width="21.875" style="2" bestFit="1" customWidth="1"/>
    <col min="1543" max="1551" width="17.5" style="2" bestFit="1" customWidth="1"/>
    <col min="1552" max="1789" width="9" style="2"/>
    <col min="1790" max="1791" width="13.125" style="2" bestFit="1" customWidth="1"/>
    <col min="1792" max="1792" width="8.75" style="2" bestFit="1" customWidth="1"/>
    <col min="1793" max="1793" width="13.125" style="2" bestFit="1" customWidth="1"/>
    <col min="1794" max="1794" width="17.5" style="2" bestFit="1" customWidth="1"/>
    <col min="1795" max="1795" width="21.875" style="2" bestFit="1" customWidth="1"/>
    <col min="1796" max="1797" width="17.5" style="2" bestFit="1" customWidth="1"/>
    <col min="1798" max="1798" width="21.875" style="2" bestFit="1" customWidth="1"/>
    <col min="1799" max="1807" width="17.5" style="2" bestFit="1" customWidth="1"/>
    <col min="1808" max="2045" width="9" style="2"/>
    <col min="2046" max="2047" width="13.125" style="2" bestFit="1" customWidth="1"/>
    <col min="2048" max="2048" width="8.75" style="2" bestFit="1" customWidth="1"/>
    <col min="2049" max="2049" width="13.125" style="2" bestFit="1" customWidth="1"/>
    <col min="2050" max="2050" width="17.5" style="2" bestFit="1" customWidth="1"/>
    <col min="2051" max="2051" width="21.875" style="2" bestFit="1" customWidth="1"/>
    <col min="2052" max="2053" width="17.5" style="2" bestFit="1" customWidth="1"/>
    <col min="2054" max="2054" width="21.875" style="2" bestFit="1" customWidth="1"/>
    <col min="2055" max="2063" width="17.5" style="2" bestFit="1" customWidth="1"/>
    <col min="2064" max="2301" width="9" style="2"/>
    <col min="2302" max="2303" width="13.125" style="2" bestFit="1" customWidth="1"/>
    <col min="2304" max="2304" width="8.75" style="2" bestFit="1" customWidth="1"/>
    <col min="2305" max="2305" width="13.125" style="2" bestFit="1" customWidth="1"/>
    <col min="2306" max="2306" width="17.5" style="2" bestFit="1" customWidth="1"/>
    <col min="2307" max="2307" width="21.875" style="2" bestFit="1" customWidth="1"/>
    <col min="2308" max="2309" width="17.5" style="2" bestFit="1" customWidth="1"/>
    <col min="2310" max="2310" width="21.875" style="2" bestFit="1" customWidth="1"/>
    <col min="2311" max="2319" width="17.5" style="2" bestFit="1" customWidth="1"/>
    <col min="2320" max="2557" width="9" style="2"/>
    <col min="2558" max="2559" width="13.125" style="2" bestFit="1" customWidth="1"/>
    <col min="2560" max="2560" width="8.75" style="2" bestFit="1" customWidth="1"/>
    <col min="2561" max="2561" width="13.125" style="2" bestFit="1" customWidth="1"/>
    <col min="2562" max="2562" width="17.5" style="2" bestFit="1" customWidth="1"/>
    <col min="2563" max="2563" width="21.875" style="2" bestFit="1" customWidth="1"/>
    <col min="2564" max="2565" width="17.5" style="2" bestFit="1" customWidth="1"/>
    <col min="2566" max="2566" width="21.875" style="2" bestFit="1" customWidth="1"/>
    <col min="2567" max="2575" width="17.5" style="2" bestFit="1" customWidth="1"/>
    <col min="2576" max="2813" width="9" style="2"/>
    <col min="2814" max="2815" width="13.125" style="2" bestFit="1" customWidth="1"/>
    <col min="2816" max="2816" width="8.75" style="2" bestFit="1" customWidth="1"/>
    <col min="2817" max="2817" width="13.125" style="2" bestFit="1" customWidth="1"/>
    <col min="2818" max="2818" width="17.5" style="2" bestFit="1" customWidth="1"/>
    <col min="2819" max="2819" width="21.875" style="2" bestFit="1" customWidth="1"/>
    <col min="2820" max="2821" width="17.5" style="2" bestFit="1" customWidth="1"/>
    <col min="2822" max="2822" width="21.875" style="2" bestFit="1" customWidth="1"/>
    <col min="2823" max="2831" width="17.5" style="2" bestFit="1" customWidth="1"/>
    <col min="2832" max="3069" width="9" style="2"/>
    <col min="3070" max="3071" width="13.125" style="2" bestFit="1" customWidth="1"/>
    <col min="3072" max="3072" width="8.75" style="2" bestFit="1" customWidth="1"/>
    <col min="3073" max="3073" width="13.125" style="2" bestFit="1" customWidth="1"/>
    <col min="3074" max="3074" width="17.5" style="2" bestFit="1" customWidth="1"/>
    <col min="3075" max="3075" width="21.875" style="2" bestFit="1" customWidth="1"/>
    <col min="3076" max="3077" width="17.5" style="2" bestFit="1" customWidth="1"/>
    <col min="3078" max="3078" width="21.875" style="2" bestFit="1" customWidth="1"/>
    <col min="3079" max="3087" width="17.5" style="2" bestFit="1" customWidth="1"/>
    <col min="3088" max="3325" width="9" style="2"/>
    <col min="3326" max="3327" width="13.125" style="2" bestFit="1" customWidth="1"/>
    <col min="3328" max="3328" width="8.75" style="2" bestFit="1" customWidth="1"/>
    <col min="3329" max="3329" width="13.125" style="2" bestFit="1" customWidth="1"/>
    <col min="3330" max="3330" width="17.5" style="2" bestFit="1" customWidth="1"/>
    <col min="3331" max="3331" width="21.875" style="2" bestFit="1" customWidth="1"/>
    <col min="3332" max="3333" width="17.5" style="2" bestFit="1" customWidth="1"/>
    <col min="3334" max="3334" width="21.875" style="2" bestFit="1" customWidth="1"/>
    <col min="3335" max="3343" width="17.5" style="2" bestFit="1" customWidth="1"/>
    <col min="3344" max="3581" width="9" style="2"/>
    <col min="3582" max="3583" width="13.125" style="2" bestFit="1" customWidth="1"/>
    <col min="3584" max="3584" width="8.75" style="2" bestFit="1" customWidth="1"/>
    <col min="3585" max="3585" width="13.125" style="2" bestFit="1" customWidth="1"/>
    <col min="3586" max="3586" width="17.5" style="2" bestFit="1" customWidth="1"/>
    <col min="3587" max="3587" width="21.875" style="2" bestFit="1" customWidth="1"/>
    <col min="3588" max="3589" width="17.5" style="2" bestFit="1" customWidth="1"/>
    <col min="3590" max="3590" width="21.875" style="2" bestFit="1" customWidth="1"/>
    <col min="3591" max="3599" width="17.5" style="2" bestFit="1" customWidth="1"/>
    <col min="3600" max="3837" width="9" style="2"/>
    <col min="3838" max="3839" width="13.125" style="2" bestFit="1" customWidth="1"/>
    <col min="3840" max="3840" width="8.75" style="2" bestFit="1" customWidth="1"/>
    <col min="3841" max="3841" width="13.125" style="2" bestFit="1" customWidth="1"/>
    <col min="3842" max="3842" width="17.5" style="2" bestFit="1" customWidth="1"/>
    <col min="3843" max="3843" width="21.875" style="2" bestFit="1" customWidth="1"/>
    <col min="3844" max="3845" width="17.5" style="2" bestFit="1" customWidth="1"/>
    <col min="3846" max="3846" width="21.875" style="2" bestFit="1" customWidth="1"/>
    <col min="3847" max="3855" width="17.5" style="2" bestFit="1" customWidth="1"/>
    <col min="3856" max="4093" width="9" style="2"/>
    <col min="4094" max="4095" width="13.125" style="2" bestFit="1" customWidth="1"/>
    <col min="4096" max="4096" width="8.75" style="2" bestFit="1" customWidth="1"/>
    <col min="4097" max="4097" width="13.125" style="2" bestFit="1" customWidth="1"/>
    <col min="4098" max="4098" width="17.5" style="2" bestFit="1" customWidth="1"/>
    <col min="4099" max="4099" width="21.875" style="2" bestFit="1" customWidth="1"/>
    <col min="4100" max="4101" width="17.5" style="2" bestFit="1" customWidth="1"/>
    <col min="4102" max="4102" width="21.875" style="2" bestFit="1" customWidth="1"/>
    <col min="4103" max="4111" width="17.5" style="2" bestFit="1" customWidth="1"/>
    <col min="4112" max="4349" width="9" style="2"/>
    <col min="4350" max="4351" width="13.125" style="2" bestFit="1" customWidth="1"/>
    <col min="4352" max="4352" width="8.75" style="2" bestFit="1" customWidth="1"/>
    <col min="4353" max="4353" width="13.125" style="2" bestFit="1" customWidth="1"/>
    <col min="4354" max="4354" width="17.5" style="2" bestFit="1" customWidth="1"/>
    <col min="4355" max="4355" width="21.875" style="2" bestFit="1" customWidth="1"/>
    <col min="4356" max="4357" width="17.5" style="2" bestFit="1" customWidth="1"/>
    <col min="4358" max="4358" width="21.875" style="2" bestFit="1" customWidth="1"/>
    <col min="4359" max="4367" width="17.5" style="2" bestFit="1" customWidth="1"/>
    <col min="4368" max="4605" width="9" style="2"/>
    <col min="4606" max="4607" width="13.125" style="2" bestFit="1" customWidth="1"/>
    <col min="4608" max="4608" width="8.75" style="2" bestFit="1" customWidth="1"/>
    <col min="4609" max="4609" width="13.125" style="2" bestFit="1" customWidth="1"/>
    <col min="4610" max="4610" width="17.5" style="2" bestFit="1" customWidth="1"/>
    <col min="4611" max="4611" width="21.875" style="2" bestFit="1" customWidth="1"/>
    <col min="4612" max="4613" width="17.5" style="2" bestFit="1" customWidth="1"/>
    <col min="4614" max="4614" width="21.875" style="2" bestFit="1" customWidth="1"/>
    <col min="4615" max="4623" width="17.5" style="2" bestFit="1" customWidth="1"/>
    <col min="4624" max="4861" width="9" style="2"/>
    <col min="4862" max="4863" width="13.125" style="2" bestFit="1" customWidth="1"/>
    <col min="4864" max="4864" width="8.75" style="2" bestFit="1" customWidth="1"/>
    <col min="4865" max="4865" width="13.125" style="2" bestFit="1" customWidth="1"/>
    <col min="4866" max="4866" width="17.5" style="2" bestFit="1" customWidth="1"/>
    <col min="4867" max="4867" width="21.875" style="2" bestFit="1" customWidth="1"/>
    <col min="4868" max="4869" width="17.5" style="2" bestFit="1" customWidth="1"/>
    <col min="4870" max="4870" width="21.875" style="2" bestFit="1" customWidth="1"/>
    <col min="4871" max="4879" width="17.5" style="2" bestFit="1" customWidth="1"/>
    <col min="4880" max="5117" width="9" style="2"/>
    <col min="5118" max="5119" width="13.125" style="2" bestFit="1" customWidth="1"/>
    <col min="5120" max="5120" width="8.75" style="2" bestFit="1" customWidth="1"/>
    <col min="5121" max="5121" width="13.125" style="2" bestFit="1" customWidth="1"/>
    <col min="5122" max="5122" width="17.5" style="2" bestFit="1" customWidth="1"/>
    <col min="5123" max="5123" width="21.875" style="2" bestFit="1" customWidth="1"/>
    <col min="5124" max="5125" width="17.5" style="2" bestFit="1" customWidth="1"/>
    <col min="5126" max="5126" width="21.875" style="2" bestFit="1" customWidth="1"/>
    <col min="5127" max="5135" width="17.5" style="2" bestFit="1" customWidth="1"/>
    <col min="5136" max="5373" width="9" style="2"/>
    <col min="5374" max="5375" width="13.125" style="2" bestFit="1" customWidth="1"/>
    <col min="5376" max="5376" width="8.75" style="2" bestFit="1" customWidth="1"/>
    <col min="5377" max="5377" width="13.125" style="2" bestFit="1" customWidth="1"/>
    <col min="5378" max="5378" width="17.5" style="2" bestFit="1" customWidth="1"/>
    <col min="5379" max="5379" width="21.875" style="2" bestFit="1" customWidth="1"/>
    <col min="5380" max="5381" width="17.5" style="2" bestFit="1" customWidth="1"/>
    <col min="5382" max="5382" width="21.875" style="2" bestFit="1" customWidth="1"/>
    <col min="5383" max="5391" width="17.5" style="2" bestFit="1" customWidth="1"/>
    <col min="5392" max="5629" width="9" style="2"/>
    <col min="5630" max="5631" width="13.125" style="2" bestFit="1" customWidth="1"/>
    <col min="5632" max="5632" width="8.75" style="2" bestFit="1" customWidth="1"/>
    <col min="5633" max="5633" width="13.125" style="2" bestFit="1" customWidth="1"/>
    <col min="5634" max="5634" width="17.5" style="2" bestFit="1" customWidth="1"/>
    <col min="5635" max="5635" width="21.875" style="2" bestFit="1" customWidth="1"/>
    <col min="5636" max="5637" width="17.5" style="2" bestFit="1" customWidth="1"/>
    <col min="5638" max="5638" width="21.875" style="2" bestFit="1" customWidth="1"/>
    <col min="5639" max="5647" width="17.5" style="2" bestFit="1" customWidth="1"/>
    <col min="5648" max="5885" width="9" style="2"/>
    <col min="5886" max="5887" width="13.125" style="2" bestFit="1" customWidth="1"/>
    <col min="5888" max="5888" width="8.75" style="2" bestFit="1" customWidth="1"/>
    <col min="5889" max="5889" width="13.125" style="2" bestFit="1" customWidth="1"/>
    <col min="5890" max="5890" width="17.5" style="2" bestFit="1" customWidth="1"/>
    <col min="5891" max="5891" width="21.875" style="2" bestFit="1" customWidth="1"/>
    <col min="5892" max="5893" width="17.5" style="2" bestFit="1" customWidth="1"/>
    <col min="5894" max="5894" width="21.875" style="2" bestFit="1" customWidth="1"/>
    <col min="5895" max="5903" width="17.5" style="2" bestFit="1" customWidth="1"/>
    <col min="5904" max="6141" width="9" style="2"/>
    <col min="6142" max="6143" width="13.125" style="2" bestFit="1" customWidth="1"/>
    <col min="6144" max="6144" width="8.75" style="2" bestFit="1" customWidth="1"/>
    <col min="6145" max="6145" width="13.125" style="2" bestFit="1" customWidth="1"/>
    <col min="6146" max="6146" width="17.5" style="2" bestFit="1" customWidth="1"/>
    <col min="6147" max="6147" width="21.875" style="2" bestFit="1" customWidth="1"/>
    <col min="6148" max="6149" width="17.5" style="2" bestFit="1" customWidth="1"/>
    <col min="6150" max="6150" width="21.875" style="2" bestFit="1" customWidth="1"/>
    <col min="6151" max="6159" width="17.5" style="2" bestFit="1" customWidth="1"/>
    <col min="6160" max="6397" width="9" style="2"/>
    <col min="6398" max="6399" width="13.125" style="2" bestFit="1" customWidth="1"/>
    <col min="6400" max="6400" width="8.75" style="2" bestFit="1" customWidth="1"/>
    <col min="6401" max="6401" width="13.125" style="2" bestFit="1" customWidth="1"/>
    <col min="6402" max="6402" width="17.5" style="2" bestFit="1" customWidth="1"/>
    <col min="6403" max="6403" width="21.875" style="2" bestFit="1" customWidth="1"/>
    <col min="6404" max="6405" width="17.5" style="2" bestFit="1" customWidth="1"/>
    <col min="6406" max="6406" width="21.875" style="2" bestFit="1" customWidth="1"/>
    <col min="6407" max="6415" width="17.5" style="2" bestFit="1" customWidth="1"/>
    <col min="6416" max="6653" width="9" style="2"/>
    <col min="6654" max="6655" width="13.125" style="2" bestFit="1" customWidth="1"/>
    <col min="6656" max="6656" width="8.75" style="2" bestFit="1" customWidth="1"/>
    <col min="6657" max="6657" width="13.125" style="2" bestFit="1" customWidth="1"/>
    <col min="6658" max="6658" width="17.5" style="2" bestFit="1" customWidth="1"/>
    <col min="6659" max="6659" width="21.875" style="2" bestFit="1" customWidth="1"/>
    <col min="6660" max="6661" width="17.5" style="2" bestFit="1" customWidth="1"/>
    <col min="6662" max="6662" width="21.875" style="2" bestFit="1" customWidth="1"/>
    <col min="6663" max="6671" width="17.5" style="2" bestFit="1" customWidth="1"/>
    <col min="6672" max="6909" width="9" style="2"/>
    <col min="6910" max="6911" width="13.125" style="2" bestFit="1" customWidth="1"/>
    <col min="6912" max="6912" width="8.75" style="2" bestFit="1" customWidth="1"/>
    <col min="6913" max="6913" width="13.125" style="2" bestFit="1" customWidth="1"/>
    <col min="6914" max="6914" width="17.5" style="2" bestFit="1" customWidth="1"/>
    <col min="6915" max="6915" width="21.875" style="2" bestFit="1" customWidth="1"/>
    <col min="6916" max="6917" width="17.5" style="2" bestFit="1" customWidth="1"/>
    <col min="6918" max="6918" width="21.875" style="2" bestFit="1" customWidth="1"/>
    <col min="6919" max="6927" width="17.5" style="2" bestFit="1" customWidth="1"/>
    <col min="6928" max="7165" width="9" style="2"/>
    <col min="7166" max="7167" width="13.125" style="2" bestFit="1" customWidth="1"/>
    <col min="7168" max="7168" width="8.75" style="2" bestFit="1" customWidth="1"/>
    <col min="7169" max="7169" width="13.125" style="2" bestFit="1" customWidth="1"/>
    <col min="7170" max="7170" width="17.5" style="2" bestFit="1" customWidth="1"/>
    <col min="7171" max="7171" width="21.875" style="2" bestFit="1" customWidth="1"/>
    <col min="7172" max="7173" width="17.5" style="2" bestFit="1" customWidth="1"/>
    <col min="7174" max="7174" width="21.875" style="2" bestFit="1" customWidth="1"/>
    <col min="7175" max="7183" width="17.5" style="2" bestFit="1" customWidth="1"/>
    <col min="7184" max="7421" width="9" style="2"/>
    <col min="7422" max="7423" width="13.125" style="2" bestFit="1" customWidth="1"/>
    <col min="7424" max="7424" width="8.75" style="2" bestFit="1" customWidth="1"/>
    <col min="7425" max="7425" width="13.125" style="2" bestFit="1" customWidth="1"/>
    <col min="7426" max="7426" width="17.5" style="2" bestFit="1" customWidth="1"/>
    <col min="7427" max="7427" width="21.875" style="2" bestFit="1" customWidth="1"/>
    <col min="7428" max="7429" width="17.5" style="2" bestFit="1" customWidth="1"/>
    <col min="7430" max="7430" width="21.875" style="2" bestFit="1" customWidth="1"/>
    <col min="7431" max="7439" width="17.5" style="2" bestFit="1" customWidth="1"/>
    <col min="7440" max="7677" width="9" style="2"/>
    <col min="7678" max="7679" width="13.125" style="2" bestFit="1" customWidth="1"/>
    <col min="7680" max="7680" width="8.75" style="2" bestFit="1" customWidth="1"/>
    <col min="7681" max="7681" width="13.125" style="2" bestFit="1" customWidth="1"/>
    <col min="7682" max="7682" width="17.5" style="2" bestFit="1" customWidth="1"/>
    <col min="7683" max="7683" width="21.875" style="2" bestFit="1" customWidth="1"/>
    <col min="7684" max="7685" width="17.5" style="2" bestFit="1" customWidth="1"/>
    <col min="7686" max="7686" width="21.875" style="2" bestFit="1" customWidth="1"/>
    <col min="7687" max="7695" width="17.5" style="2" bestFit="1" customWidth="1"/>
    <col min="7696" max="7933" width="9" style="2"/>
    <col min="7934" max="7935" width="13.125" style="2" bestFit="1" customWidth="1"/>
    <col min="7936" max="7936" width="8.75" style="2" bestFit="1" customWidth="1"/>
    <col min="7937" max="7937" width="13.125" style="2" bestFit="1" customWidth="1"/>
    <col min="7938" max="7938" width="17.5" style="2" bestFit="1" customWidth="1"/>
    <col min="7939" max="7939" width="21.875" style="2" bestFit="1" customWidth="1"/>
    <col min="7940" max="7941" width="17.5" style="2" bestFit="1" customWidth="1"/>
    <col min="7942" max="7942" width="21.875" style="2" bestFit="1" customWidth="1"/>
    <col min="7943" max="7951" width="17.5" style="2" bestFit="1" customWidth="1"/>
    <col min="7952" max="8189" width="9" style="2"/>
    <col min="8190" max="8191" width="13.125" style="2" bestFit="1" customWidth="1"/>
    <col min="8192" max="8192" width="8.75" style="2" bestFit="1" customWidth="1"/>
    <col min="8193" max="8193" width="13.125" style="2" bestFit="1" customWidth="1"/>
    <col min="8194" max="8194" width="17.5" style="2" bestFit="1" customWidth="1"/>
    <col min="8195" max="8195" width="21.875" style="2" bestFit="1" customWidth="1"/>
    <col min="8196" max="8197" width="17.5" style="2" bestFit="1" customWidth="1"/>
    <col min="8198" max="8198" width="21.875" style="2" bestFit="1" customWidth="1"/>
    <col min="8199" max="8207" width="17.5" style="2" bestFit="1" customWidth="1"/>
    <col min="8208" max="8445" width="9" style="2"/>
    <col min="8446" max="8447" width="13.125" style="2" bestFit="1" customWidth="1"/>
    <col min="8448" max="8448" width="8.75" style="2" bestFit="1" customWidth="1"/>
    <col min="8449" max="8449" width="13.125" style="2" bestFit="1" customWidth="1"/>
    <col min="8450" max="8450" width="17.5" style="2" bestFit="1" customWidth="1"/>
    <col min="8451" max="8451" width="21.875" style="2" bestFit="1" customWidth="1"/>
    <col min="8452" max="8453" width="17.5" style="2" bestFit="1" customWidth="1"/>
    <col min="8454" max="8454" width="21.875" style="2" bestFit="1" customWidth="1"/>
    <col min="8455" max="8463" width="17.5" style="2" bestFit="1" customWidth="1"/>
    <col min="8464" max="8701" width="9" style="2"/>
    <col min="8702" max="8703" width="13.125" style="2" bestFit="1" customWidth="1"/>
    <col min="8704" max="8704" width="8.75" style="2" bestFit="1" customWidth="1"/>
    <col min="8705" max="8705" width="13.125" style="2" bestFit="1" customWidth="1"/>
    <col min="8706" max="8706" width="17.5" style="2" bestFit="1" customWidth="1"/>
    <col min="8707" max="8707" width="21.875" style="2" bestFit="1" customWidth="1"/>
    <col min="8708" max="8709" width="17.5" style="2" bestFit="1" customWidth="1"/>
    <col min="8710" max="8710" width="21.875" style="2" bestFit="1" customWidth="1"/>
    <col min="8711" max="8719" width="17.5" style="2" bestFit="1" customWidth="1"/>
    <col min="8720" max="8957" width="9" style="2"/>
    <col min="8958" max="8959" width="13.125" style="2" bestFit="1" customWidth="1"/>
    <col min="8960" max="8960" width="8.75" style="2" bestFit="1" customWidth="1"/>
    <col min="8961" max="8961" width="13.125" style="2" bestFit="1" customWidth="1"/>
    <col min="8962" max="8962" width="17.5" style="2" bestFit="1" customWidth="1"/>
    <col min="8963" max="8963" width="21.875" style="2" bestFit="1" customWidth="1"/>
    <col min="8964" max="8965" width="17.5" style="2" bestFit="1" customWidth="1"/>
    <col min="8966" max="8966" width="21.875" style="2" bestFit="1" customWidth="1"/>
    <col min="8967" max="8975" width="17.5" style="2" bestFit="1" customWidth="1"/>
    <col min="8976" max="9213" width="9" style="2"/>
    <col min="9214" max="9215" width="13.125" style="2" bestFit="1" customWidth="1"/>
    <col min="9216" max="9216" width="8.75" style="2" bestFit="1" customWidth="1"/>
    <col min="9217" max="9217" width="13.125" style="2" bestFit="1" customWidth="1"/>
    <col min="9218" max="9218" width="17.5" style="2" bestFit="1" customWidth="1"/>
    <col min="9219" max="9219" width="21.875" style="2" bestFit="1" customWidth="1"/>
    <col min="9220" max="9221" width="17.5" style="2" bestFit="1" customWidth="1"/>
    <col min="9222" max="9222" width="21.875" style="2" bestFit="1" customWidth="1"/>
    <col min="9223" max="9231" width="17.5" style="2" bestFit="1" customWidth="1"/>
    <col min="9232" max="9469" width="9" style="2"/>
    <col min="9470" max="9471" width="13.125" style="2" bestFit="1" customWidth="1"/>
    <col min="9472" max="9472" width="8.75" style="2" bestFit="1" customWidth="1"/>
    <col min="9473" max="9473" width="13.125" style="2" bestFit="1" customWidth="1"/>
    <col min="9474" max="9474" width="17.5" style="2" bestFit="1" customWidth="1"/>
    <col min="9475" max="9475" width="21.875" style="2" bestFit="1" customWidth="1"/>
    <col min="9476" max="9477" width="17.5" style="2" bestFit="1" customWidth="1"/>
    <col min="9478" max="9478" width="21.875" style="2" bestFit="1" customWidth="1"/>
    <col min="9479" max="9487" width="17.5" style="2" bestFit="1" customWidth="1"/>
    <col min="9488" max="9725" width="9" style="2"/>
    <col min="9726" max="9727" width="13.125" style="2" bestFit="1" customWidth="1"/>
    <col min="9728" max="9728" width="8.75" style="2" bestFit="1" customWidth="1"/>
    <col min="9729" max="9729" width="13.125" style="2" bestFit="1" customWidth="1"/>
    <col min="9730" max="9730" width="17.5" style="2" bestFit="1" customWidth="1"/>
    <col min="9731" max="9731" width="21.875" style="2" bestFit="1" customWidth="1"/>
    <col min="9732" max="9733" width="17.5" style="2" bestFit="1" customWidth="1"/>
    <col min="9734" max="9734" width="21.875" style="2" bestFit="1" customWidth="1"/>
    <col min="9735" max="9743" width="17.5" style="2" bestFit="1" customWidth="1"/>
    <col min="9744" max="9981" width="9" style="2"/>
    <col min="9982" max="9983" width="13.125" style="2" bestFit="1" customWidth="1"/>
    <col min="9984" max="9984" width="8.75" style="2" bestFit="1" customWidth="1"/>
    <col min="9985" max="9985" width="13.125" style="2" bestFit="1" customWidth="1"/>
    <col min="9986" max="9986" width="17.5" style="2" bestFit="1" customWidth="1"/>
    <col min="9987" max="9987" width="21.875" style="2" bestFit="1" customWidth="1"/>
    <col min="9988" max="9989" width="17.5" style="2" bestFit="1" customWidth="1"/>
    <col min="9990" max="9990" width="21.875" style="2" bestFit="1" customWidth="1"/>
    <col min="9991" max="9999" width="17.5" style="2" bestFit="1" customWidth="1"/>
    <col min="10000" max="10237" width="9" style="2"/>
    <col min="10238" max="10239" width="13.125" style="2" bestFit="1" customWidth="1"/>
    <col min="10240" max="10240" width="8.75" style="2" bestFit="1" customWidth="1"/>
    <col min="10241" max="10241" width="13.125" style="2" bestFit="1" customWidth="1"/>
    <col min="10242" max="10242" width="17.5" style="2" bestFit="1" customWidth="1"/>
    <col min="10243" max="10243" width="21.875" style="2" bestFit="1" customWidth="1"/>
    <col min="10244" max="10245" width="17.5" style="2" bestFit="1" customWidth="1"/>
    <col min="10246" max="10246" width="21.875" style="2" bestFit="1" customWidth="1"/>
    <col min="10247" max="10255" width="17.5" style="2" bestFit="1" customWidth="1"/>
    <col min="10256" max="10493" width="9" style="2"/>
    <col min="10494" max="10495" width="13.125" style="2" bestFit="1" customWidth="1"/>
    <col min="10496" max="10496" width="8.75" style="2" bestFit="1" customWidth="1"/>
    <col min="10497" max="10497" width="13.125" style="2" bestFit="1" customWidth="1"/>
    <col min="10498" max="10498" width="17.5" style="2" bestFit="1" customWidth="1"/>
    <col min="10499" max="10499" width="21.875" style="2" bestFit="1" customWidth="1"/>
    <col min="10500" max="10501" width="17.5" style="2" bestFit="1" customWidth="1"/>
    <col min="10502" max="10502" width="21.875" style="2" bestFit="1" customWidth="1"/>
    <col min="10503" max="10511" width="17.5" style="2" bestFit="1" customWidth="1"/>
    <col min="10512" max="10749" width="9" style="2"/>
    <col min="10750" max="10751" width="13.125" style="2" bestFit="1" customWidth="1"/>
    <col min="10752" max="10752" width="8.75" style="2" bestFit="1" customWidth="1"/>
    <col min="10753" max="10753" width="13.125" style="2" bestFit="1" customWidth="1"/>
    <col min="10754" max="10754" width="17.5" style="2" bestFit="1" customWidth="1"/>
    <col min="10755" max="10755" width="21.875" style="2" bestFit="1" customWidth="1"/>
    <col min="10756" max="10757" width="17.5" style="2" bestFit="1" customWidth="1"/>
    <col min="10758" max="10758" width="21.875" style="2" bestFit="1" customWidth="1"/>
    <col min="10759" max="10767" width="17.5" style="2" bestFit="1" customWidth="1"/>
    <col min="10768" max="11005" width="9" style="2"/>
    <col min="11006" max="11007" width="13.125" style="2" bestFit="1" customWidth="1"/>
    <col min="11008" max="11008" width="8.75" style="2" bestFit="1" customWidth="1"/>
    <col min="11009" max="11009" width="13.125" style="2" bestFit="1" customWidth="1"/>
    <col min="11010" max="11010" width="17.5" style="2" bestFit="1" customWidth="1"/>
    <col min="11011" max="11011" width="21.875" style="2" bestFit="1" customWidth="1"/>
    <col min="11012" max="11013" width="17.5" style="2" bestFit="1" customWidth="1"/>
    <col min="11014" max="11014" width="21.875" style="2" bestFit="1" customWidth="1"/>
    <col min="11015" max="11023" width="17.5" style="2" bestFit="1" customWidth="1"/>
    <col min="11024" max="11261" width="9" style="2"/>
    <col min="11262" max="11263" width="13.125" style="2" bestFit="1" customWidth="1"/>
    <col min="11264" max="11264" width="8.75" style="2" bestFit="1" customWidth="1"/>
    <col min="11265" max="11265" width="13.125" style="2" bestFit="1" customWidth="1"/>
    <col min="11266" max="11266" width="17.5" style="2" bestFit="1" customWidth="1"/>
    <col min="11267" max="11267" width="21.875" style="2" bestFit="1" customWidth="1"/>
    <col min="11268" max="11269" width="17.5" style="2" bestFit="1" customWidth="1"/>
    <col min="11270" max="11270" width="21.875" style="2" bestFit="1" customWidth="1"/>
    <col min="11271" max="11279" width="17.5" style="2" bestFit="1" customWidth="1"/>
    <col min="11280" max="11517" width="9" style="2"/>
    <col min="11518" max="11519" width="13.125" style="2" bestFit="1" customWidth="1"/>
    <col min="11520" max="11520" width="8.75" style="2" bestFit="1" customWidth="1"/>
    <col min="11521" max="11521" width="13.125" style="2" bestFit="1" customWidth="1"/>
    <col min="11522" max="11522" width="17.5" style="2" bestFit="1" customWidth="1"/>
    <col min="11523" max="11523" width="21.875" style="2" bestFit="1" customWidth="1"/>
    <col min="11524" max="11525" width="17.5" style="2" bestFit="1" customWidth="1"/>
    <col min="11526" max="11526" width="21.875" style="2" bestFit="1" customWidth="1"/>
    <col min="11527" max="11535" width="17.5" style="2" bestFit="1" customWidth="1"/>
    <col min="11536" max="11773" width="9" style="2"/>
    <col min="11774" max="11775" width="13.125" style="2" bestFit="1" customWidth="1"/>
    <col min="11776" max="11776" width="8.75" style="2" bestFit="1" customWidth="1"/>
    <col min="11777" max="11777" width="13.125" style="2" bestFit="1" customWidth="1"/>
    <col min="11778" max="11778" width="17.5" style="2" bestFit="1" customWidth="1"/>
    <col min="11779" max="11779" width="21.875" style="2" bestFit="1" customWidth="1"/>
    <col min="11780" max="11781" width="17.5" style="2" bestFit="1" customWidth="1"/>
    <col min="11782" max="11782" width="21.875" style="2" bestFit="1" customWidth="1"/>
    <col min="11783" max="11791" width="17.5" style="2" bestFit="1" customWidth="1"/>
    <col min="11792" max="12029" width="9" style="2"/>
    <col min="12030" max="12031" width="13.125" style="2" bestFit="1" customWidth="1"/>
    <col min="12032" max="12032" width="8.75" style="2" bestFit="1" customWidth="1"/>
    <col min="12033" max="12033" width="13.125" style="2" bestFit="1" customWidth="1"/>
    <col min="12034" max="12034" width="17.5" style="2" bestFit="1" customWidth="1"/>
    <col min="12035" max="12035" width="21.875" style="2" bestFit="1" customWidth="1"/>
    <col min="12036" max="12037" width="17.5" style="2" bestFit="1" customWidth="1"/>
    <col min="12038" max="12038" width="21.875" style="2" bestFit="1" customWidth="1"/>
    <col min="12039" max="12047" width="17.5" style="2" bestFit="1" customWidth="1"/>
    <col min="12048" max="12285" width="9" style="2"/>
    <col min="12286" max="12287" width="13.125" style="2" bestFit="1" customWidth="1"/>
    <col min="12288" max="12288" width="8.75" style="2" bestFit="1" customWidth="1"/>
    <col min="12289" max="12289" width="13.125" style="2" bestFit="1" customWidth="1"/>
    <col min="12290" max="12290" width="17.5" style="2" bestFit="1" customWidth="1"/>
    <col min="12291" max="12291" width="21.875" style="2" bestFit="1" customWidth="1"/>
    <col min="12292" max="12293" width="17.5" style="2" bestFit="1" customWidth="1"/>
    <col min="12294" max="12294" width="21.875" style="2" bestFit="1" customWidth="1"/>
    <col min="12295" max="12303" width="17.5" style="2" bestFit="1" customWidth="1"/>
    <col min="12304" max="12541" width="9" style="2"/>
    <col min="12542" max="12543" width="13.125" style="2" bestFit="1" customWidth="1"/>
    <col min="12544" max="12544" width="8.75" style="2" bestFit="1" customWidth="1"/>
    <col min="12545" max="12545" width="13.125" style="2" bestFit="1" customWidth="1"/>
    <col min="12546" max="12546" width="17.5" style="2" bestFit="1" customWidth="1"/>
    <col min="12547" max="12547" width="21.875" style="2" bestFit="1" customWidth="1"/>
    <col min="12548" max="12549" width="17.5" style="2" bestFit="1" customWidth="1"/>
    <col min="12550" max="12550" width="21.875" style="2" bestFit="1" customWidth="1"/>
    <col min="12551" max="12559" width="17.5" style="2" bestFit="1" customWidth="1"/>
    <col min="12560" max="12797" width="9" style="2"/>
    <col min="12798" max="12799" width="13.125" style="2" bestFit="1" customWidth="1"/>
    <col min="12800" max="12800" width="8.75" style="2" bestFit="1" customWidth="1"/>
    <col min="12801" max="12801" width="13.125" style="2" bestFit="1" customWidth="1"/>
    <col min="12802" max="12802" width="17.5" style="2" bestFit="1" customWidth="1"/>
    <col min="12803" max="12803" width="21.875" style="2" bestFit="1" customWidth="1"/>
    <col min="12804" max="12805" width="17.5" style="2" bestFit="1" customWidth="1"/>
    <col min="12806" max="12806" width="21.875" style="2" bestFit="1" customWidth="1"/>
    <col min="12807" max="12815" width="17.5" style="2" bestFit="1" customWidth="1"/>
    <col min="12816" max="13053" width="9" style="2"/>
    <col min="13054" max="13055" width="13.125" style="2" bestFit="1" customWidth="1"/>
    <col min="13056" max="13056" width="8.75" style="2" bestFit="1" customWidth="1"/>
    <col min="13057" max="13057" width="13.125" style="2" bestFit="1" customWidth="1"/>
    <col min="13058" max="13058" width="17.5" style="2" bestFit="1" customWidth="1"/>
    <col min="13059" max="13059" width="21.875" style="2" bestFit="1" customWidth="1"/>
    <col min="13060" max="13061" width="17.5" style="2" bestFit="1" customWidth="1"/>
    <col min="13062" max="13062" width="21.875" style="2" bestFit="1" customWidth="1"/>
    <col min="13063" max="13071" width="17.5" style="2" bestFit="1" customWidth="1"/>
    <col min="13072" max="13309" width="9" style="2"/>
    <col min="13310" max="13311" width="13.125" style="2" bestFit="1" customWidth="1"/>
    <col min="13312" max="13312" width="8.75" style="2" bestFit="1" customWidth="1"/>
    <col min="13313" max="13313" width="13.125" style="2" bestFit="1" customWidth="1"/>
    <col min="13314" max="13314" width="17.5" style="2" bestFit="1" customWidth="1"/>
    <col min="13315" max="13315" width="21.875" style="2" bestFit="1" customWidth="1"/>
    <col min="13316" max="13317" width="17.5" style="2" bestFit="1" customWidth="1"/>
    <col min="13318" max="13318" width="21.875" style="2" bestFit="1" customWidth="1"/>
    <col min="13319" max="13327" width="17.5" style="2" bestFit="1" customWidth="1"/>
    <col min="13328" max="13565" width="9" style="2"/>
    <col min="13566" max="13567" width="13.125" style="2" bestFit="1" customWidth="1"/>
    <col min="13568" max="13568" width="8.75" style="2" bestFit="1" customWidth="1"/>
    <col min="13569" max="13569" width="13.125" style="2" bestFit="1" customWidth="1"/>
    <col min="13570" max="13570" width="17.5" style="2" bestFit="1" customWidth="1"/>
    <col min="13571" max="13571" width="21.875" style="2" bestFit="1" customWidth="1"/>
    <col min="13572" max="13573" width="17.5" style="2" bestFit="1" customWidth="1"/>
    <col min="13574" max="13574" width="21.875" style="2" bestFit="1" customWidth="1"/>
    <col min="13575" max="13583" width="17.5" style="2" bestFit="1" customWidth="1"/>
    <col min="13584" max="13821" width="9" style="2"/>
    <col min="13822" max="13823" width="13.125" style="2" bestFit="1" customWidth="1"/>
    <col min="13824" max="13824" width="8.75" style="2" bestFit="1" customWidth="1"/>
    <col min="13825" max="13825" width="13.125" style="2" bestFit="1" customWidth="1"/>
    <col min="13826" max="13826" width="17.5" style="2" bestFit="1" customWidth="1"/>
    <col min="13827" max="13827" width="21.875" style="2" bestFit="1" customWidth="1"/>
    <col min="13828" max="13829" width="17.5" style="2" bestFit="1" customWidth="1"/>
    <col min="13830" max="13830" width="21.875" style="2" bestFit="1" customWidth="1"/>
    <col min="13831" max="13839" width="17.5" style="2" bestFit="1" customWidth="1"/>
    <col min="13840" max="14077" width="9" style="2"/>
    <col min="14078" max="14079" width="13.125" style="2" bestFit="1" customWidth="1"/>
    <col min="14080" max="14080" width="8.75" style="2" bestFit="1" customWidth="1"/>
    <col min="14081" max="14081" width="13.125" style="2" bestFit="1" customWidth="1"/>
    <col min="14082" max="14082" width="17.5" style="2" bestFit="1" customWidth="1"/>
    <col min="14083" max="14083" width="21.875" style="2" bestFit="1" customWidth="1"/>
    <col min="14084" max="14085" width="17.5" style="2" bestFit="1" customWidth="1"/>
    <col min="14086" max="14086" width="21.875" style="2" bestFit="1" customWidth="1"/>
    <col min="14087" max="14095" width="17.5" style="2" bestFit="1" customWidth="1"/>
    <col min="14096" max="14333" width="9" style="2"/>
    <col min="14334" max="14335" width="13.125" style="2" bestFit="1" customWidth="1"/>
    <col min="14336" max="14336" width="8.75" style="2" bestFit="1" customWidth="1"/>
    <col min="14337" max="14337" width="13.125" style="2" bestFit="1" customWidth="1"/>
    <col min="14338" max="14338" width="17.5" style="2" bestFit="1" customWidth="1"/>
    <col min="14339" max="14339" width="21.875" style="2" bestFit="1" customWidth="1"/>
    <col min="14340" max="14341" width="17.5" style="2" bestFit="1" customWidth="1"/>
    <col min="14342" max="14342" width="21.875" style="2" bestFit="1" customWidth="1"/>
    <col min="14343" max="14351" width="17.5" style="2" bestFit="1" customWidth="1"/>
    <col min="14352" max="14589" width="9" style="2"/>
    <col min="14590" max="14591" width="13.125" style="2" bestFit="1" customWidth="1"/>
    <col min="14592" max="14592" width="8.75" style="2" bestFit="1" customWidth="1"/>
    <col min="14593" max="14593" width="13.125" style="2" bestFit="1" customWidth="1"/>
    <col min="14594" max="14594" width="17.5" style="2" bestFit="1" customWidth="1"/>
    <col min="14595" max="14595" width="21.875" style="2" bestFit="1" customWidth="1"/>
    <col min="14596" max="14597" width="17.5" style="2" bestFit="1" customWidth="1"/>
    <col min="14598" max="14598" width="21.875" style="2" bestFit="1" customWidth="1"/>
    <col min="14599" max="14607" width="17.5" style="2" bestFit="1" customWidth="1"/>
    <col min="14608" max="14845" width="9" style="2"/>
    <col min="14846" max="14847" width="13.125" style="2" bestFit="1" customWidth="1"/>
    <col min="14848" max="14848" width="8.75" style="2" bestFit="1" customWidth="1"/>
    <col min="14849" max="14849" width="13.125" style="2" bestFit="1" customWidth="1"/>
    <col min="14850" max="14850" width="17.5" style="2" bestFit="1" customWidth="1"/>
    <col min="14851" max="14851" width="21.875" style="2" bestFit="1" customWidth="1"/>
    <col min="14852" max="14853" width="17.5" style="2" bestFit="1" customWidth="1"/>
    <col min="14854" max="14854" width="21.875" style="2" bestFit="1" customWidth="1"/>
    <col min="14855" max="14863" width="17.5" style="2" bestFit="1" customWidth="1"/>
    <col min="14864" max="15101" width="9" style="2"/>
    <col min="15102" max="15103" width="13.125" style="2" bestFit="1" customWidth="1"/>
    <col min="15104" max="15104" width="8.75" style="2" bestFit="1" customWidth="1"/>
    <col min="15105" max="15105" width="13.125" style="2" bestFit="1" customWidth="1"/>
    <col min="15106" max="15106" width="17.5" style="2" bestFit="1" customWidth="1"/>
    <col min="15107" max="15107" width="21.875" style="2" bestFit="1" customWidth="1"/>
    <col min="15108" max="15109" width="17.5" style="2" bestFit="1" customWidth="1"/>
    <col min="15110" max="15110" width="21.875" style="2" bestFit="1" customWidth="1"/>
    <col min="15111" max="15119" width="17.5" style="2" bestFit="1" customWidth="1"/>
    <col min="15120" max="15357" width="9" style="2"/>
    <col min="15358" max="15359" width="13.125" style="2" bestFit="1" customWidth="1"/>
    <col min="15360" max="15360" width="8.75" style="2" bestFit="1" customWidth="1"/>
    <col min="15361" max="15361" width="13.125" style="2" bestFit="1" customWidth="1"/>
    <col min="15362" max="15362" width="17.5" style="2" bestFit="1" customWidth="1"/>
    <col min="15363" max="15363" width="21.875" style="2" bestFit="1" customWidth="1"/>
    <col min="15364" max="15365" width="17.5" style="2" bestFit="1" customWidth="1"/>
    <col min="15366" max="15366" width="21.875" style="2" bestFit="1" customWidth="1"/>
    <col min="15367" max="15375" width="17.5" style="2" bestFit="1" customWidth="1"/>
    <col min="15376" max="15613" width="9" style="2"/>
    <col min="15614" max="15615" width="13.125" style="2" bestFit="1" customWidth="1"/>
    <col min="15616" max="15616" width="8.75" style="2" bestFit="1" customWidth="1"/>
    <col min="15617" max="15617" width="13.125" style="2" bestFit="1" customWidth="1"/>
    <col min="15618" max="15618" width="17.5" style="2" bestFit="1" customWidth="1"/>
    <col min="15619" max="15619" width="21.875" style="2" bestFit="1" customWidth="1"/>
    <col min="15620" max="15621" width="17.5" style="2" bestFit="1" customWidth="1"/>
    <col min="15622" max="15622" width="21.875" style="2" bestFit="1" customWidth="1"/>
    <col min="15623" max="15631" width="17.5" style="2" bestFit="1" customWidth="1"/>
    <col min="15632" max="15869" width="9" style="2"/>
    <col min="15870" max="15871" width="13.125" style="2" bestFit="1" customWidth="1"/>
    <col min="15872" max="15872" width="8.75" style="2" bestFit="1" customWidth="1"/>
    <col min="15873" max="15873" width="13.125" style="2" bestFit="1" customWidth="1"/>
    <col min="15874" max="15874" width="17.5" style="2" bestFit="1" customWidth="1"/>
    <col min="15875" max="15875" width="21.875" style="2" bestFit="1" customWidth="1"/>
    <col min="15876" max="15877" width="17.5" style="2" bestFit="1" customWidth="1"/>
    <col min="15878" max="15878" width="21.875" style="2" bestFit="1" customWidth="1"/>
    <col min="15879" max="15887" width="17.5" style="2" bestFit="1" customWidth="1"/>
    <col min="15888" max="16125" width="9" style="2"/>
    <col min="16126" max="16127" width="13.125" style="2" bestFit="1" customWidth="1"/>
    <col min="16128" max="16128" width="8.75" style="2" bestFit="1" customWidth="1"/>
    <col min="16129" max="16129" width="13.125" style="2" bestFit="1" customWidth="1"/>
    <col min="16130" max="16130" width="17.5" style="2" bestFit="1" customWidth="1"/>
    <col min="16131" max="16131" width="21.875" style="2" bestFit="1" customWidth="1"/>
    <col min="16132" max="16133" width="17.5" style="2" bestFit="1" customWidth="1"/>
    <col min="16134" max="16134" width="21.875" style="2" bestFit="1" customWidth="1"/>
    <col min="16135" max="16143" width="17.5" style="2" bestFit="1" customWidth="1"/>
    <col min="16144" max="16384" width="9" style="2"/>
  </cols>
  <sheetData>
    <row r="1" spans="1:19">
      <c r="A1" s="6" t="s">
        <v>102</v>
      </c>
      <c r="B1" s="6" t="s">
        <v>1</v>
      </c>
      <c r="C1" s="1" t="s">
        <v>0</v>
      </c>
      <c r="D1" s="6" t="s">
        <v>2</v>
      </c>
      <c r="E1" s="5" t="s">
        <v>83</v>
      </c>
      <c r="F1" s="5" t="s">
        <v>709</v>
      </c>
      <c r="G1" s="5" t="s">
        <v>84</v>
      </c>
      <c r="H1" s="4" t="s">
        <v>85</v>
      </c>
      <c r="I1" s="5" t="s">
        <v>86</v>
      </c>
      <c r="J1" s="4" t="s">
        <v>87</v>
      </c>
      <c r="K1" s="345" t="s">
        <v>912</v>
      </c>
      <c r="L1" s="4" t="s">
        <v>88</v>
      </c>
      <c r="M1" s="4" t="s">
        <v>85</v>
      </c>
      <c r="N1" s="345" t="s">
        <v>99</v>
      </c>
      <c r="O1" s="5" t="s">
        <v>807</v>
      </c>
      <c r="P1" s="5" t="s">
        <v>101</v>
      </c>
      <c r="Q1" s="5" t="s">
        <v>100</v>
      </c>
      <c r="R1" s="322"/>
      <c r="S1" s="5" t="s">
        <v>865</v>
      </c>
    </row>
    <row r="2" spans="1:19">
      <c r="A2" s="6">
        <v>1</v>
      </c>
      <c r="B2" s="7">
        <v>107082</v>
      </c>
      <c r="C2" s="4" t="s">
        <v>923</v>
      </c>
      <c r="D2" s="7" t="s">
        <v>659</v>
      </c>
      <c r="E2" s="7" t="s">
        <v>924</v>
      </c>
      <c r="F2" s="7"/>
      <c r="G2" s="8" t="s">
        <v>882</v>
      </c>
      <c r="H2" s="28" t="s">
        <v>897</v>
      </c>
      <c r="I2" s="8" t="s">
        <v>883</v>
      </c>
      <c r="J2" s="28" t="s">
        <v>898</v>
      </c>
      <c r="K2" s="8" t="s">
        <v>713</v>
      </c>
      <c r="L2" s="3" t="s">
        <v>774</v>
      </c>
      <c r="M2" s="28" t="s">
        <v>899</v>
      </c>
      <c r="N2" s="362" t="s">
        <v>5</v>
      </c>
      <c r="O2" s="323" t="s">
        <v>802</v>
      </c>
      <c r="P2" s="7" t="s">
        <v>5</v>
      </c>
      <c r="Q2" s="333" t="s">
        <v>819</v>
      </c>
      <c r="R2" s="323" t="s">
        <v>5</v>
      </c>
      <c r="S2" s="7" t="s">
        <v>5</v>
      </c>
    </row>
    <row r="3" spans="1:19">
      <c r="A3" s="6">
        <v>2</v>
      </c>
      <c r="B3" s="7">
        <v>107188</v>
      </c>
      <c r="C3" s="326" t="s">
        <v>886</v>
      </c>
      <c r="D3" s="7" t="s">
        <v>660</v>
      </c>
      <c r="E3" s="7" t="s">
        <v>685</v>
      </c>
      <c r="F3" s="7"/>
      <c r="G3" s="7" t="s">
        <v>714</v>
      </c>
      <c r="H3" s="28" t="s">
        <v>900</v>
      </c>
      <c r="I3" s="7" t="s">
        <v>841</v>
      </c>
      <c r="J3" s="28" t="s">
        <v>901</v>
      </c>
      <c r="K3" s="7" t="s">
        <v>714</v>
      </c>
      <c r="L3" s="3" t="s">
        <v>775</v>
      </c>
      <c r="M3" s="3" t="s">
        <v>738</v>
      </c>
      <c r="N3" s="363" t="s">
        <v>808</v>
      </c>
      <c r="O3" s="323" t="s">
        <v>803</v>
      </c>
      <c r="P3" s="7" t="s">
        <v>5</v>
      </c>
      <c r="Q3" s="7" t="s">
        <v>820</v>
      </c>
      <c r="R3" s="323" t="s">
        <v>805</v>
      </c>
      <c r="S3" s="7" t="s">
        <v>836</v>
      </c>
    </row>
    <row r="4" spans="1:19">
      <c r="A4" s="6">
        <v>3</v>
      </c>
      <c r="B4" s="7">
        <v>107003</v>
      </c>
      <c r="C4" s="326" t="s">
        <v>925</v>
      </c>
      <c r="D4" s="7" t="s">
        <v>661</v>
      </c>
      <c r="E4" s="7" t="s">
        <v>686</v>
      </c>
      <c r="F4" s="8"/>
      <c r="G4" s="7" t="s">
        <v>715</v>
      </c>
      <c r="H4" s="28" t="s">
        <v>884</v>
      </c>
      <c r="I4" s="7" t="s">
        <v>842</v>
      </c>
      <c r="J4" s="3">
        <v>919916239</v>
      </c>
      <c r="K4" s="7" t="s">
        <v>715</v>
      </c>
      <c r="L4" s="3" t="s">
        <v>776</v>
      </c>
      <c r="M4" s="3" t="s">
        <v>739</v>
      </c>
      <c r="N4" s="363" t="s">
        <v>809</v>
      </c>
      <c r="O4" s="323" t="s">
        <v>804</v>
      </c>
      <c r="P4" s="7" t="s">
        <v>5</v>
      </c>
      <c r="Q4" s="333" t="s">
        <v>821</v>
      </c>
      <c r="R4" s="323" t="s">
        <v>803</v>
      </c>
      <c r="S4" s="7" t="s">
        <v>5</v>
      </c>
    </row>
    <row r="5" spans="1:19">
      <c r="A5" s="6">
        <v>4</v>
      </c>
      <c r="B5" s="7">
        <v>107228</v>
      </c>
      <c r="C5" s="327" t="s">
        <v>926</v>
      </c>
      <c r="D5" s="7" t="s">
        <v>662</v>
      </c>
      <c r="E5" s="7" t="s">
        <v>687</v>
      </c>
      <c r="F5" s="8" t="s">
        <v>832</v>
      </c>
      <c r="G5" s="7" t="s">
        <v>855</v>
      </c>
      <c r="H5" s="28"/>
      <c r="I5" s="8" t="s">
        <v>716</v>
      </c>
      <c r="J5" s="28" t="s">
        <v>902</v>
      </c>
      <c r="K5" s="7" t="s">
        <v>716</v>
      </c>
      <c r="L5" s="3" t="s">
        <v>757</v>
      </c>
      <c r="M5" s="3" t="s">
        <v>757</v>
      </c>
      <c r="N5" s="364" t="s">
        <v>5</v>
      </c>
      <c r="O5" s="324" t="s">
        <v>5</v>
      </c>
      <c r="P5" s="7" t="s">
        <v>89</v>
      </c>
      <c r="Q5" s="7" t="s">
        <v>822</v>
      </c>
      <c r="R5" s="323" t="s">
        <v>5</v>
      </c>
      <c r="S5" s="7" t="s">
        <v>5</v>
      </c>
    </row>
    <row r="6" spans="1:19">
      <c r="A6" s="6">
        <v>5</v>
      </c>
      <c r="B6" s="7">
        <v>107061</v>
      </c>
      <c r="C6" s="326" t="s">
        <v>927</v>
      </c>
      <c r="D6" s="7" t="s">
        <v>663</v>
      </c>
      <c r="E6" s="7" t="s">
        <v>688</v>
      </c>
      <c r="F6" s="8" t="s">
        <v>798</v>
      </c>
      <c r="G6" s="7" t="s">
        <v>717</v>
      </c>
      <c r="H6" s="28" t="s">
        <v>903</v>
      </c>
      <c r="I6" s="342" t="s">
        <v>843</v>
      </c>
      <c r="J6" s="344"/>
      <c r="K6" s="7" t="s">
        <v>717</v>
      </c>
      <c r="L6" s="3" t="s">
        <v>777</v>
      </c>
      <c r="M6" s="3" t="s">
        <v>5</v>
      </c>
      <c r="N6" s="362" t="s">
        <v>5</v>
      </c>
      <c r="O6" s="323" t="s">
        <v>805</v>
      </c>
      <c r="P6" s="7" t="s">
        <v>5</v>
      </c>
      <c r="Q6" s="7" t="s">
        <v>823</v>
      </c>
      <c r="R6" s="323" t="s">
        <v>802</v>
      </c>
      <c r="S6" s="7" t="s">
        <v>5</v>
      </c>
    </row>
    <row r="7" spans="1:19">
      <c r="A7" s="6">
        <v>6</v>
      </c>
      <c r="B7" s="7">
        <v>107166</v>
      </c>
      <c r="C7" s="4" t="s">
        <v>928</v>
      </c>
      <c r="D7" s="7" t="s">
        <v>664</v>
      </c>
      <c r="E7" s="7" t="s">
        <v>689</v>
      </c>
      <c r="F7" s="8"/>
      <c r="G7" s="7" t="s">
        <v>718</v>
      </c>
      <c r="H7" s="28" t="s">
        <v>905</v>
      </c>
      <c r="I7" s="7" t="s">
        <v>844</v>
      </c>
      <c r="J7" s="28" t="s">
        <v>904</v>
      </c>
      <c r="K7" s="7" t="s">
        <v>718</v>
      </c>
      <c r="L7" s="3" t="s">
        <v>778</v>
      </c>
      <c r="M7" s="3" t="s">
        <v>740</v>
      </c>
      <c r="N7" s="363" t="s">
        <v>810</v>
      </c>
      <c r="O7" s="323" t="s">
        <v>803</v>
      </c>
      <c r="P7" s="7" t="s">
        <v>90</v>
      </c>
      <c r="Q7" s="7" t="s">
        <v>824</v>
      </c>
      <c r="R7" s="323" t="s">
        <v>803</v>
      </c>
      <c r="S7" s="7" t="s">
        <v>837</v>
      </c>
    </row>
    <row r="8" spans="1:19">
      <c r="A8" s="6">
        <v>7</v>
      </c>
      <c r="B8" s="7">
        <v>107116</v>
      </c>
      <c r="C8" s="327" t="s">
        <v>929</v>
      </c>
      <c r="D8" s="7" t="s">
        <v>665</v>
      </c>
      <c r="E8" s="7" t="s">
        <v>930</v>
      </c>
      <c r="F8" s="8" t="s">
        <v>799</v>
      </c>
      <c r="G8" s="342" t="s">
        <v>5</v>
      </c>
      <c r="H8" s="343" t="s">
        <v>5</v>
      </c>
      <c r="I8" s="7" t="s">
        <v>719</v>
      </c>
      <c r="J8" s="28" t="s">
        <v>906</v>
      </c>
      <c r="K8" s="7" t="s">
        <v>719</v>
      </c>
      <c r="L8" s="3" t="s">
        <v>779</v>
      </c>
      <c r="M8" s="3" t="s">
        <v>758</v>
      </c>
      <c r="N8" s="362" t="s">
        <v>5</v>
      </c>
      <c r="O8" s="323" t="s">
        <v>5</v>
      </c>
      <c r="P8" s="7" t="s">
        <v>90</v>
      </c>
      <c r="Q8" s="7" t="s">
        <v>5</v>
      </c>
      <c r="R8" s="323" t="s">
        <v>802</v>
      </c>
      <c r="S8" s="7" t="s">
        <v>838</v>
      </c>
    </row>
    <row r="9" spans="1:19">
      <c r="A9" s="6">
        <v>8</v>
      </c>
      <c r="B9" s="7">
        <v>107092</v>
      </c>
      <c r="C9" s="326" t="s">
        <v>931</v>
      </c>
      <c r="D9" s="7" t="s">
        <v>666</v>
      </c>
      <c r="E9" s="7" t="s">
        <v>690</v>
      </c>
      <c r="F9" s="7"/>
      <c r="G9" s="7" t="s">
        <v>720</v>
      </c>
      <c r="H9" s="3" t="s">
        <v>741</v>
      </c>
      <c r="I9" s="7" t="s">
        <v>845</v>
      </c>
      <c r="J9" s="28" t="s">
        <v>885</v>
      </c>
      <c r="K9" s="7" t="s">
        <v>720</v>
      </c>
      <c r="L9" s="3" t="s">
        <v>780</v>
      </c>
      <c r="M9" s="3" t="s">
        <v>741</v>
      </c>
      <c r="N9" s="362" t="s">
        <v>5</v>
      </c>
      <c r="O9" s="323" t="s">
        <v>806</v>
      </c>
      <c r="P9" s="7" t="s">
        <v>5</v>
      </c>
      <c r="Q9" s="333" t="s">
        <v>821</v>
      </c>
      <c r="R9" s="323" t="s">
        <v>802</v>
      </c>
      <c r="S9" s="7" t="s">
        <v>5</v>
      </c>
    </row>
    <row r="10" spans="1:19">
      <c r="A10" s="6">
        <v>9</v>
      </c>
      <c r="B10" s="7">
        <v>107218</v>
      </c>
      <c r="C10" s="327" t="s">
        <v>949</v>
      </c>
      <c r="D10" s="7" t="s">
        <v>667</v>
      </c>
      <c r="E10" s="7" t="s">
        <v>691</v>
      </c>
      <c r="F10" s="7" t="s">
        <v>710</v>
      </c>
      <c r="G10" s="342" t="s">
        <v>721</v>
      </c>
      <c r="H10" s="343" t="s">
        <v>5</v>
      </c>
      <c r="I10" s="342" t="s">
        <v>846</v>
      </c>
      <c r="J10" s="343" t="s">
        <v>5</v>
      </c>
      <c r="K10" s="7" t="s">
        <v>721</v>
      </c>
      <c r="L10" s="3" t="s">
        <v>781</v>
      </c>
      <c r="M10" s="3" t="s">
        <v>795</v>
      </c>
      <c r="N10" s="362" t="s">
        <v>5</v>
      </c>
      <c r="O10" s="323" t="s">
        <v>5</v>
      </c>
      <c r="P10" s="7" t="s">
        <v>5</v>
      </c>
      <c r="Q10" s="7" t="s">
        <v>5</v>
      </c>
      <c r="R10" s="323" t="s">
        <v>5</v>
      </c>
      <c r="S10" s="7" t="s">
        <v>5</v>
      </c>
    </row>
    <row r="11" spans="1:19">
      <c r="A11" s="6">
        <v>10</v>
      </c>
      <c r="B11" s="7">
        <v>107066</v>
      </c>
      <c r="C11" s="4" t="s">
        <v>932</v>
      </c>
      <c r="D11" s="7" t="s">
        <v>668</v>
      </c>
      <c r="E11" s="7" t="s">
        <v>692</v>
      </c>
      <c r="F11" s="8" t="s">
        <v>798</v>
      </c>
      <c r="G11" s="7" t="s">
        <v>722</v>
      </c>
      <c r="H11" s="3" t="s">
        <v>742</v>
      </c>
      <c r="I11" s="342" t="s">
        <v>847</v>
      </c>
      <c r="J11" s="343" t="s">
        <v>5</v>
      </c>
      <c r="K11" s="7" t="s">
        <v>722</v>
      </c>
      <c r="L11" s="3" t="s">
        <v>5</v>
      </c>
      <c r="M11" s="3" t="s">
        <v>742</v>
      </c>
      <c r="N11" s="362" t="s">
        <v>811</v>
      </c>
      <c r="O11" s="323" t="s">
        <v>802</v>
      </c>
      <c r="P11" s="7" t="s">
        <v>5</v>
      </c>
      <c r="Q11" s="7" t="s">
        <v>5</v>
      </c>
      <c r="R11" s="323" t="s">
        <v>5</v>
      </c>
      <c r="S11" s="7" t="s">
        <v>5</v>
      </c>
    </row>
    <row r="12" spans="1:19">
      <c r="A12" s="6">
        <v>11</v>
      </c>
      <c r="B12" s="7">
        <v>107146</v>
      </c>
      <c r="C12" s="4" t="s">
        <v>933</v>
      </c>
      <c r="D12" s="7" t="s">
        <v>669</v>
      </c>
      <c r="E12" s="7" t="s">
        <v>693</v>
      </c>
      <c r="F12" s="7" t="s">
        <v>833</v>
      </c>
      <c r="G12" s="7" t="s">
        <v>856</v>
      </c>
      <c r="H12" s="3" t="s">
        <v>743</v>
      </c>
      <c r="I12" s="7" t="s">
        <v>723</v>
      </c>
      <c r="J12" s="3" t="s">
        <v>759</v>
      </c>
      <c r="K12" s="7" t="s">
        <v>723</v>
      </c>
      <c r="L12" s="28" t="s">
        <v>907</v>
      </c>
      <c r="M12" s="3" t="s">
        <v>759</v>
      </c>
      <c r="N12" s="362" t="s">
        <v>5</v>
      </c>
      <c r="O12" s="323" t="s">
        <v>806</v>
      </c>
      <c r="P12" s="7" t="s">
        <v>91</v>
      </c>
      <c r="Q12" s="333" t="s">
        <v>821</v>
      </c>
      <c r="R12" s="323" t="s">
        <v>806</v>
      </c>
      <c r="S12" s="7" t="s">
        <v>5</v>
      </c>
    </row>
    <row r="13" spans="1:19">
      <c r="A13" s="6">
        <v>12</v>
      </c>
      <c r="B13" s="7">
        <v>107148</v>
      </c>
      <c r="C13" s="4" t="s">
        <v>934</v>
      </c>
      <c r="D13" s="7" t="s">
        <v>670</v>
      </c>
      <c r="E13" s="7" t="s">
        <v>694</v>
      </c>
      <c r="F13" s="7"/>
      <c r="G13" s="7" t="s">
        <v>857</v>
      </c>
      <c r="H13" s="3" t="s">
        <v>744</v>
      </c>
      <c r="I13" s="7" t="s">
        <v>724</v>
      </c>
      <c r="J13" s="3" t="s">
        <v>760</v>
      </c>
      <c r="K13" s="7" t="s">
        <v>724</v>
      </c>
      <c r="L13" s="3" t="s">
        <v>782</v>
      </c>
      <c r="M13" s="3" t="s">
        <v>760</v>
      </c>
      <c r="N13" s="363" t="s">
        <v>812</v>
      </c>
      <c r="O13" s="323" t="s">
        <v>802</v>
      </c>
      <c r="P13" s="7" t="s">
        <v>93</v>
      </c>
      <c r="Q13" s="7" t="s">
        <v>825</v>
      </c>
      <c r="R13" s="323" t="s">
        <v>805</v>
      </c>
      <c r="S13" s="7" t="s">
        <v>839</v>
      </c>
    </row>
    <row r="14" spans="1:19">
      <c r="A14" s="6">
        <v>13</v>
      </c>
      <c r="B14" s="7">
        <v>107122</v>
      </c>
      <c r="C14" s="4" t="s">
        <v>935</v>
      </c>
      <c r="D14" s="7" t="s">
        <v>671</v>
      </c>
      <c r="E14" s="7" t="s">
        <v>695</v>
      </c>
      <c r="F14" s="7" t="s">
        <v>834</v>
      </c>
      <c r="G14" s="7" t="s">
        <v>858</v>
      </c>
      <c r="H14" s="28" t="s">
        <v>909</v>
      </c>
      <c r="I14" s="7" t="s">
        <v>725</v>
      </c>
      <c r="J14" s="28" t="s">
        <v>908</v>
      </c>
      <c r="K14" s="7" t="s">
        <v>725</v>
      </c>
      <c r="L14" s="3" t="s">
        <v>5</v>
      </c>
      <c r="M14" s="3" t="s">
        <v>761</v>
      </c>
      <c r="N14" s="363" t="s">
        <v>813</v>
      </c>
      <c r="O14" s="323" t="s">
        <v>805</v>
      </c>
      <c r="P14" s="7" t="s">
        <v>93</v>
      </c>
      <c r="Q14" s="7" t="s">
        <v>5</v>
      </c>
      <c r="R14" s="323" t="s">
        <v>5</v>
      </c>
      <c r="S14" s="7" t="s">
        <v>821</v>
      </c>
    </row>
    <row r="15" spans="1:19">
      <c r="A15" s="6">
        <v>14</v>
      </c>
      <c r="B15" s="7">
        <v>107041</v>
      </c>
      <c r="C15" s="4" t="s">
        <v>936</v>
      </c>
      <c r="D15" s="7" t="s">
        <v>672</v>
      </c>
      <c r="E15" s="7" t="s">
        <v>696</v>
      </c>
      <c r="F15" s="7"/>
      <c r="G15" s="7" t="s">
        <v>726</v>
      </c>
      <c r="H15" s="3" t="s">
        <v>745</v>
      </c>
      <c r="I15" s="7" t="s">
        <v>848</v>
      </c>
      <c r="J15" s="3" t="s">
        <v>762</v>
      </c>
      <c r="K15" s="7" t="s">
        <v>726</v>
      </c>
      <c r="L15" s="3" t="s">
        <v>783</v>
      </c>
      <c r="M15" s="3" t="s">
        <v>745</v>
      </c>
      <c r="N15" s="362" t="s">
        <v>5</v>
      </c>
      <c r="O15" s="323" t="s">
        <v>802</v>
      </c>
      <c r="P15" s="7" t="s">
        <v>94</v>
      </c>
      <c r="Q15" s="325" t="s">
        <v>826</v>
      </c>
      <c r="R15" s="323" t="s">
        <v>805</v>
      </c>
      <c r="S15" s="7" t="s">
        <v>840</v>
      </c>
    </row>
    <row r="16" spans="1:19">
      <c r="A16" s="6">
        <v>15</v>
      </c>
      <c r="B16" s="7">
        <v>107125</v>
      </c>
      <c r="C16" s="326" t="s">
        <v>937</v>
      </c>
      <c r="D16" s="7" t="s">
        <v>673</v>
      </c>
      <c r="E16" s="7" t="s">
        <v>697</v>
      </c>
      <c r="F16" s="7"/>
      <c r="G16" s="7" t="s">
        <v>727</v>
      </c>
      <c r="H16" s="3" t="s">
        <v>746</v>
      </c>
      <c r="I16" s="7" t="s">
        <v>849</v>
      </c>
      <c r="J16" s="3" t="s">
        <v>763</v>
      </c>
      <c r="K16" s="7" t="s">
        <v>727</v>
      </c>
      <c r="L16" s="3" t="s">
        <v>784</v>
      </c>
      <c r="M16" s="3" t="s">
        <v>746</v>
      </c>
      <c r="N16" s="362" t="s">
        <v>814</v>
      </c>
      <c r="O16" s="323" t="s">
        <v>805</v>
      </c>
      <c r="P16" s="7" t="s">
        <v>95</v>
      </c>
      <c r="Q16" s="7" t="s">
        <v>827</v>
      </c>
      <c r="R16" s="323" t="s">
        <v>803</v>
      </c>
      <c r="S16" s="7" t="s">
        <v>92</v>
      </c>
    </row>
    <row r="17" spans="1:19">
      <c r="A17" s="6">
        <v>16</v>
      </c>
      <c r="B17" s="7">
        <v>107174</v>
      </c>
      <c r="C17" s="4" t="s">
        <v>938</v>
      </c>
      <c r="D17" s="7" t="s">
        <v>674</v>
      </c>
      <c r="E17" s="7" t="s">
        <v>698</v>
      </c>
      <c r="F17" s="8" t="s">
        <v>801</v>
      </c>
      <c r="G17" s="7" t="s">
        <v>728</v>
      </c>
      <c r="H17" s="3" t="s">
        <v>747</v>
      </c>
      <c r="I17" s="342" t="s">
        <v>850</v>
      </c>
      <c r="J17" s="343" t="s">
        <v>764</v>
      </c>
      <c r="K17" s="7" t="s">
        <v>728</v>
      </c>
      <c r="L17" s="3" t="s">
        <v>785</v>
      </c>
      <c r="M17" s="3" t="s">
        <v>747</v>
      </c>
      <c r="N17" s="364" t="s">
        <v>5</v>
      </c>
      <c r="O17" s="324" t="s">
        <v>802</v>
      </c>
      <c r="P17" s="8" t="s">
        <v>203</v>
      </c>
      <c r="Q17" s="7" t="s">
        <v>828</v>
      </c>
      <c r="R17" s="323" t="s">
        <v>802</v>
      </c>
      <c r="S17" s="7" t="s">
        <v>5</v>
      </c>
    </row>
    <row r="18" spans="1:19">
      <c r="A18" s="6">
        <v>17</v>
      </c>
      <c r="B18" s="7">
        <v>107149</v>
      </c>
      <c r="C18" s="326" t="s">
        <v>939</v>
      </c>
      <c r="D18" s="7" t="s">
        <v>675</v>
      </c>
      <c r="E18" s="7" t="s">
        <v>699</v>
      </c>
      <c r="F18" s="8" t="s">
        <v>711</v>
      </c>
      <c r="G18" s="7" t="s">
        <v>859</v>
      </c>
      <c r="H18" s="3" t="s">
        <v>748</v>
      </c>
      <c r="I18" s="7" t="s">
        <v>729</v>
      </c>
      <c r="J18" s="3" t="s">
        <v>765</v>
      </c>
      <c r="K18" s="7" t="s">
        <v>729</v>
      </c>
      <c r="L18" s="3" t="s">
        <v>786</v>
      </c>
      <c r="M18" s="3" t="s">
        <v>765</v>
      </c>
      <c r="N18" s="365" t="s">
        <v>815</v>
      </c>
      <c r="O18" s="324" t="s">
        <v>5</v>
      </c>
      <c r="P18" s="7" t="s">
        <v>5</v>
      </c>
      <c r="Q18" s="8" t="s">
        <v>827</v>
      </c>
      <c r="R18" s="324" t="s">
        <v>803</v>
      </c>
      <c r="S18" s="7" t="s">
        <v>92</v>
      </c>
    </row>
    <row r="19" spans="1:19">
      <c r="A19" s="6">
        <v>18</v>
      </c>
      <c r="B19" s="7">
        <v>107072</v>
      </c>
      <c r="C19" s="4" t="s">
        <v>940</v>
      </c>
      <c r="D19" s="7" t="s">
        <v>676</v>
      </c>
      <c r="E19" s="7" t="s">
        <v>700</v>
      </c>
      <c r="F19" s="8" t="s">
        <v>835</v>
      </c>
      <c r="G19" s="7" t="s">
        <v>730</v>
      </c>
      <c r="H19" s="3" t="s">
        <v>749</v>
      </c>
      <c r="I19" s="7" t="s">
        <v>851</v>
      </c>
      <c r="J19" s="3" t="s">
        <v>766</v>
      </c>
      <c r="K19" s="7" t="s">
        <v>730</v>
      </c>
      <c r="L19" s="3" t="s">
        <v>787</v>
      </c>
      <c r="M19" s="3" t="s">
        <v>749</v>
      </c>
      <c r="N19" s="362" t="s">
        <v>816</v>
      </c>
      <c r="O19" s="323" t="s">
        <v>803</v>
      </c>
      <c r="P19" s="7" t="s">
        <v>5</v>
      </c>
      <c r="Q19" s="333" t="s">
        <v>821</v>
      </c>
      <c r="R19" s="323" t="s">
        <v>802</v>
      </c>
      <c r="S19" s="7" t="s">
        <v>5</v>
      </c>
    </row>
    <row r="20" spans="1:19">
      <c r="A20" s="6">
        <v>19</v>
      </c>
      <c r="B20" s="7">
        <v>107128</v>
      </c>
      <c r="C20" s="4" t="s">
        <v>941</v>
      </c>
      <c r="D20" s="7" t="s">
        <v>677</v>
      </c>
      <c r="E20" s="7" t="s">
        <v>701</v>
      </c>
      <c r="F20" s="7"/>
      <c r="G20" s="7" t="s">
        <v>860</v>
      </c>
      <c r="H20" s="28" t="s">
        <v>911</v>
      </c>
      <c r="I20" s="7" t="s">
        <v>852</v>
      </c>
      <c r="J20" s="28" t="s">
        <v>910</v>
      </c>
      <c r="K20" s="7" t="s">
        <v>5</v>
      </c>
      <c r="L20" s="3" t="s">
        <v>788</v>
      </c>
      <c r="M20" s="3" t="s">
        <v>796</v>
      </c>
      <c r="N20" s="362" t="s">
        <v>5</v>
      </c>
      <c r="O20" s="323" t="s">
        <v>5</v>
      </c>
      <c r="P20" s="7" t="s">
        <v>5</v>
      </c>
      <c r="Q20" s="7" t="s">
        <v>5</v>
      </c>
      <c r="R20" s="323" t="s">
        <v>5</v>
      </c>
      <c r="S20" s="7" t="s">
        <v>5</v>
      </c>
    </row>
    <row r="21" spans="1:19">
      <c r="A21" s="6">
        <v>20</v>
      </c>
      <c r="B21" s="7">
        <v>107074</v>
      </c>
      <c r="C21" s="326" t="s">
        <v>950</v>
      </c>
      <c r="D21" s="7" t="s">
        <v>678</v>
      </c>
      <c r="E21" s="7" t="s">
        <v>702</v>
      </c>
      <c r="F21" s="7"/>
      <c r="G21" s="7" t="s">
        <v>861</v>
      </c>
      <c r="H21" s="3" t="s">
        <v>750</v>
      </c>
      <c r="I21" s="7" t="s">
        <v>731</v>
      </c>
      <c r="J21" s="3" t="s">
        <v>767</v>
      </c>
      <c r="K21" s="7" t="s">
        <v>731</v>
      </c>
      <c r="L21" s="3" t="s">
        <v>789</v>
      </c>
      <c r="M21" s="3" t="s">
        <v>767</v>
      </c>
      <c r="N21" s="362" t="s">
        <v>5</v>
      </c>
      <c r="O21" s="323" t="s">
        <v>802</v>
      </c>
      <c r="P21" s="7" t="s">
        <v>5</v>
      </c>
      <c r="Q21" s="7" t="s">
        <v>829</v>
      </c>
      <c r="R21" s="323" t="s">
        <v>805</v>
      </c>
      <c r="S21" s="7" t="s">
        <v>829</v>
      </c>
    </row>
    <row r="22" spans="1:19">
      <c r="A22" s="6">
        <v>21</v>
      </c>
      <c r="B22" s="7">
        <v>107101</v>
      </c>
      <c r="C22" s="327" t="s">
        <v>942</v>
      </c>
      <c r="D22" s="7" t="s">
        <v>679</v>
      </c>
      <c r="E22" s="7" t="s">
        <v>703</v>
      </c>
      <c r="F22" s="7"/>
      <c r="G22" s="7" t="s">
        <v>862</v>
      </c>
      <c r="H22" s="3" t="s">
        <v>751</v>
      </c>
      <c r="I22" s="7" t="s">
        <v>732</v>
      </c>
      <c r="J22" s="3" t="s">
        <v>768</v>
      </c>
      <c r="K22" s="7" t="s">
        <v>732</v>
      </c>
      <c r="L22" s="3" t="s">
        <v>790</v>
      </c>
      <c r="M22" s="3" t="s">
        <v>768</v>
      </c>
      <c r="N22" s="362" t="s">
        <v>5</v>
      </c>
      <c r="O22" s="323" t="s">
        <v>806</v>
      </c>
      <c r="P22" s="7" t="s">
        <v>96</v>
      </c>
      <c r="Q22" s="7" t="s">
        <v>5</v>
      </c>
      <c r="R22" s="323" t="s">
        <v>805</v>
      </c>
      <c r="S22" s="7" t="s">
        <v>821</v>
      </c>
    </row>
    <row r="23" spans="1:19">
      <c r="A23" s="6">
        <v>22</v>
      </c>
      <c r="B23" s="7">
        <v>107018</v>
      </c>
      <c r="C23" s="4" t="s">
        <v>943</v>
      </c>
      <c r="D23" s="7" t="s">
        <v>680</v>
      </c>
      <c r="E23" s="7" t="s">
        <v>704</v>
      </c>
      <c r="F23" s="7"/>
      <c r="G23" s="7" t="s">
        <v>863</v>
      </c>
      <c r="H23" s="3" t="s">
        <v>752</v>
      </c>
      <c r="I23" s="7" t="s">
        <v>733</v>
      </c>
      <c r="J23" s="28" t="s">
        <v>769</v>
      </c>
      <c r="K23" s="7" t="s">
        <v>733</v>
      </c>
      <c r="L23" s="3" t="s">
        <v>791</v>
      </c>
      <c r="M23" s="3" t="s">
        <v>769</v>
      </c>
      <c r="N23" s="363" t="s">
        <v>817</v>
      </c>
      <c r="O23" s="323" t="s">
        <v>804</v>
      </c>
      <c r="P23" s="7" t="s">
        <v>5</v>
      </c>
      <c r="Q23" s="325" t="s">
        <v>830</v>
      </c>
      <c r="R23" s="323" t="s">
        <v>803</v>
      </c>
      <c r="S23" s="7" t="s">
        <v>5</v>
      </c>
    </row>
    <row r="24" spans="1:19">
      <c r="A24" s="6">
        <v>23</v>
      </c>
      <c r="B24" s="7">
        <v>107050</v>
      </c>
      <c r="C24" s="4" t="s">
        <v>944</v>
      </c>
      <c r="D24" s="7" t="s">
        <v>681</v>
      </c>
      <c r="E24" s="7" t="s">
        <v>705</v>
      </c>
      <c r="F24" s="8"/>
      <c r="G24" s="7" t="s">
        <v>734</v>
      </c>
      <c r="H24" s="3" t="s">
        <v>753</v>
      </c>
      <c r="I24" s="8" t="s">
        <v>951</v>
      </c>
      <c r="J24" s="3" t="s">
        <v>770</v>
      </c>
      <c r="K24" s="7" t="s">
        <v>734</v>
      </c>
      <c r="L24" s="3" t="s">
        <v>792</v>
      </c>
      <c r="M24" s="3" t="s">
        <v>753</v>
      </c>
      <c r="N24" s="362" t="s">
        <v>5</v>
      </c>
      <c r="O24" s="323" t="s">
        <v>802</v>
      </c>
      <c r="P24" s="7" t="s">
        <v>5</v>
      </c>
      <c r="Q24" s="333" t="s">
        <v>821</v>
      </c>
      <c r="R24" s="323" t="s">
        <v>805</v>
      </c>
      <c r="S24" s="7" t="s">
        <v>821</v>
      </c>
    </row>
    <row r="25" spans="1:19">
      <c r="A25" s="6">
        <v>24</v>
      </c>
      <c r="B25" s="7">
        <v>107022</v>
      </c>
      <c r="C25" s="4" t="s">
        <v>945</v>
      </c>
      <c r="D25" s="7" t="s">
        <v>682</v>
      </c>
      <c r="E25" s="7" t="s">
        <v>706</v>
      </c>
      <c r="F25" s="7"/>
      <c r="G25" s="7" t="s">
        <v>735</v>
      </c>
      <c r="H25" s="3" t="s">
        <v>754</v>
      </c>
      <c r="I25" s="7" t="s">
        <v>853</v>
      </c>
      <c r="J25" s="3" t="s">
        <v>771</v>
      </c>
      <c r="K25" s="7" t="s">
        <v>735</v>
      </c>
      <c r="L25" s="3" t="s">
        <v>793</v>
      </c>
      <c r="M25" s="3" t="s">
        <v>754</v>
      </c>
      <c r="N25" s="362" t="s">
        <v>5</v>
      </c>
      <c r="O25" s="323" t="s">
        <v>802</v>
      </c>
      <c r="P25" s="7" t="s">
        <v>97</v>
      </c>
      <c r="Q25" s="7" t="s">
        <v>831</v>
      </c>
      <c r="R25" s="323" t="s">
        <v>802</v>
      </c>
      <c r="S25" s="7" t="s">
        <v>5</v>
      </c>
    </row>
    <row r="26" spans="1:19">
      <c r="A26" s="6">
        <v>25</v>
      </c>
      <c r="B26" s="7">
        <v>107053</v>
      </c>
      <c r="C26" s="4" t="s">
        <v>946</v>
      </c>
      <c r="D26" s="7" t="s">
        <v>683</v>
      </c>
      <c r="E26" s="7" t="s">
        <v>707</v>
      </c>
      <c r="F26" s="7" t="s">
        <v>712</v>
      </c>
      <c r="G26" s="7" t="s">
        <v>864</v>
      </c>
      <c r="H26" s="3" t="s">
        <v>755</v>
      </c>
      <c r="I26" s="7" t="s">
        <v>736</v>
      </c>
      <c r="J26" s="3" t="s">
        <v>772</v>
      </c>
      <c r="K26" s="7" t="s">
        <v>736</v>
      </c>
      <c r="L26" s="3" t="s">
        <v>794</v>
      </c>
      <c r="M26" s="3" t="s">
        <v>797</v>
      </c>
      <c r="N26" s="362" t="s">
        <v>818</v>
      </c>
      <c r="O26" s="323" t="s">
        <v>803</v>
      </c>
      <c r="P26" s="7" t="s">
        <v>98</v>
      </c>
      <c r="Q26" s="333" t="s">
        <v>821</v>
      </c>
      <c r="R26" s="323" t="s">
        <v>803</v>
      </c>
      <c r="S26" s="7" t="s">
        <v>5</v>
      </c>
    </row>
    <row r="27" spans="1:19">
      <c r="A27" s="6">
        <v>26</v>
      </c>
      <c r="B27" s="7">
        <v>107222</v>
      </c>
      <c r="C27" s="327" t="s">
        <v>947</v>
      </c>
      <c r="D27" s="7" t="s">
        <v>684</v>
      </c>
      <c r="E27" s="7" t="s">
        <v>708</v>
      </c>
      <c r="F27" s="8" t="s">
        <v>800</v>
      </c>
      <c r="G27" s="7" t="s">
        <v>737</v>
      </c>
      <c r="H27" s="28" t="s">
        <v>756</v>
      </c>
      <c r="I27" s="7" t="s">
        <v>854</v>
      </c>
      <c r="J27" s="28" t="s">
        <v>773</v>
      </c>
      <c r="K27" s="7" t="s">
        <v>737</v>
      </c>
      <c r="L27" s="3" t="s">
        <v>5</v>
      </c>
      <c r="M27" s="3" t="s">
        <v>756</v>
      </c>
      <c r="N27" s="362" t="s">
        <v>5</v>
      </c>
      <c r="O27" s="323" t="s">
        <v>5</v>
      </c>
      <c r="P27" s="7" t="s">
        <v>5</v>
      </c>
      <c r="Q27" s="7" t="s">
        <v>5</v>
      </c>
      <c r="R27" s="323" t="s">
        <v>5</v>
      </c>
      <c r="S27" s="7" t="s">
        <v>5</v>
      </c>
    </row>
    <row r="28" spans="1:19">
      <c r="A28" s="6">
        <v>27</v>
      </c>
      <c r="B28" s="7"/>
      <c r="C28" s="4"/>
      <c r="D28" s="7"/>
      <c r="E28" s="7"/>
      <c r="F28" s="7"/>
      <c r="G28" s="7"/>
      <c r="H28" s="3"/>
      <c r="I28" s="7"/>
      <c r="J28" s="3"/>
      <c r="K28" s="7"/>
      <c r="L28" s="361" t="s">
        <v>978</v>
      </c>
      <c r="M28" s="3"/>
      <c r="N28" s="362"/>
      <c r="O28" s="323"/>
      <c r="P28" s="7"/>
      <c r="Q28" s="7"/>
      <c r="R28" s="323"/>
      <c r="S28" s="7"/>
    </row>
    <row r="29" spans="1:19">
      <c r="A29" s="6">
        <v>28</v>
      </c>
      <c r="B29" s="7"/>
      <c r="C29" s="4"/>
      <c r="D29" s="7"/>
      <c r="E29" s="7"/>
      <c r="F29" s="7"/>
      <c r="G29" s="7"/>
      <c r="H29" s="3"/>
      <c r="I29" s="7"/>
      <c r="J29" s="361"/>
      <c r="K29" s="7"/>
      <c r="L29" s="3"/>
      <c r="M29" s="3"/>
      <c r="N29" s="362"/>
      <c r="O29" s="323"/>
      <c r="P29" s="7"/>
      <c r="Q29" s="7"/>
      <c r="R29" s="323"/>
      <c r="S29" s="7"/>
    </row>
    <row r="32" spans="1:19">
      <c r="H32" s="2" t="s">
        <v>463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7"/>
  <sheetViews>
    <sheetView topLeftCell="B1" zoomScale="150" zoomScaleNormal="150" workbookViewId="0">
      <selection activeCell="C5" sqref="C5:C6"/>
    </sheetView>
  </sheetViews>
  <sheetFormatPr defaultRowHeight="15.75"/>
  <cols>
    <col min="1" max="1" width="8" style="360" customWidth="1"/>
    <col min="2" max="2" width="4.625" style="360" customWidth="1"/>
    <col min="3" max="3" width="8.125" style="353" customWidth="1"/>
    <col min="4" max="4" width="63" style="353" customWidth="1"/>
    <col min="5" max="16384" width="9" style="353"/>
  </cols>
  <sheetData>
    <row r="1" spans="1:4" ht="18.399999999999999" customHeight="1">
      <c r="A1" s="473" t="s">
        <v>875</v>
      </c>
      <c r="B1" s="474"/>
      <c r="C1" s="474"/>
      <c r="D1" s="352">
        <v>44075</v>
      </c>
    </row>
    <row r="2" spans="1:4" ht="18.399999999999999" customHeight="1">
      <c r="A2" s="354" t="s">
        <v>154</v>
      </c>
      <c r="B2" s="354">
        <v>14</v>
      </c>
      <c r="C2" s="354" t="str">
        <f>VLOOKUP(B2,紀錄表!$A$3:$B$30,2,0)</f>
        <v>高翊庭</v>
      </c>
      <c r="D2" s="355" t="s">
        <v>155</v>
      </c>
    </row>
    <row r="3" spans="1:4" ht="18.399999999999999" customHeight="1">
      <c r="A3" s="354" t="s">
        <v>156</v>
      </c>
      <c r="B3" s="354">
        <v>10</v>
      </c>
      <c r="C3" s="354" t="str">
        <f>VLOOKUP(B3,紀錄表!$A$3:$B$30,2,0)</f>
        <v>李宥霆</v>
      </c>
      <c r="D3" s="355" t="s">
        <v>157</v>
      </c>
    </row>
    <row r="4" spans="1:4" ht="18.399999999999999" customHeight="1">
      <c r="A4" s="354" t="s">
        <v>158</v>
      </c>
      <c r="B4" s="354">
        <v>11</v>
      </c>
      <c r="C4" s="354" t="str">
        <f>VLOOKUP(B4,紀錄表!$A$3:$B$30,2,0)</f>
        <v>柯皓哲</v>
      </c>
      <c r="D4" s="355" t="s">
        <v>159</v>
      </c>
    </row>
    <row r="5" spans="1:4" ht="18.399999999999999" customHeight="1">
      <c r="A5" s="463" t="s">
        <v>160</v>
      </c>
      <c r="B5" s="354">
        <v>20</v>
      </c>
      <c r="C5" s="354" t="str">
        <f>VLOOKUP(B5,紀錄表!$A$3:$B$30,2,0)</f>
        <v>蔡羽媗</v>
      </c>
      <c r="D5" s="355" t="s">
        <v>161</v>
      </c>
    </row>
    <row r="6" spans="1:4" ht="18.399999999999999" customHeight="1">
      <c r="A6" s="463"/>
      <c r="B6" s="354">
        <v>22</v>
      </c>
      <c r="C6" s="354" t="str">
        <f>VLOOKUP(B6,紀錄表!$A$3:$B$30,2,0)</f>
        <v>邱詩涵</v>
      </c>
      <c r="D6" s="355" t="s">
        <v>161</v>
      </c>
    </row>
    <row r="7" spans="1:4" ht="18.399999999999999" customHeight="1">
      <c r="A7" s="470" t="s">
        <v>162</v>
      </c>
      <c r="B7" s="354">
        <v>15</v>
      </c>
      <c r="C7" s="354" t="str">
        <f>VLOOKUP(B7,紀錄表!$A$3:$B$30,2,0)</f>
        <v>藍彩華</v>
      </c>
      <c r="D7" s="355" t="s">
        <v>429</v>
      </c>
    </row>
    <row r="8" spans="1:4" ht="18.399999999999999" customHeight="1">
      <c r="A8" s="472"/>
      <c r="B8" s="354">
        <v>5</v>
      </c>
      <c r="C8" s="354" t="str">
        <f>VLOOKUP(B8,紀錄表!$A$3:$B$30,2,0)</f>
        <v>葉翃均</v>
      </c>
      <c r="D8" s="355" t="s">
        <v>1029</v>
      </c>
    </row>
    <row r="9" spans="1:4" ht="18.399999999999999" customHeight="1">
      <c r="A9" s="463" t="s">
        <v>164</v>
      </c>
      <c r="B9" s="354">
        <v>17</v>
      </c>
      <c r="C9" s="354" t="str">
        <f>VLOOKUP(B9,紀錄表!$A$3:$B$30,2,0)</f>
        <v>張智函</v>
      </c>
      <c r="D9" s="355" t="s">
        <v>165</v>
      </c>
    </row>
    <row r="10" spans="1:4" ht="18.399999999999999" customHeight="1">
      <c r="A10" s="463"/>
      <c r="B10" s="354">
        <v>16</v>
      </c>
      <c r="C10" s="354" t="str">
        <f>VLOOKUP(B10,紀錄表!$A$3:$B$30,2,0)</f>
        <v>曾琛晞</v>
      </c>
      <c r="D10" s="355" t="s">
        <v>165</v>
      </c>
    </row>
    <row r="11" spans="1:4" ht="18.399999999999999" customHeight="1">
      <c r="A11" s="358"/>
      <c r="B11" s="389">
        <v>3</v>
      </c>
      <c r="C11" s="389" t="str">
        <f>VLOOKUP(B11,紀錄表!$A$3:$B$30,2,0)</f>
        <v>林昱任</v>
      </c>
      <c r="D11" s="355" t="s">
        <v>1026</v>
      </c>
    </row>
    <row r="12" spans="1:4" ht="18.399999999999999" customHeight="1">
      <c r="A12" s="354" t="s">
        <v>430</v>
      </c>
      <c r="B12" s="354">
        <v>18</v>
      </c>
      <c r="C12" s="354" t="str">
        <f>VLOOKUP(B12,紀錄表!$A$3:$B$30,2,0)</f>
        <v>許凌菲</v>
      </c>
      <c r="D12" s="355" t="s">
        <v>431</v>
      </c>
    </row>
    <row r="13" spans="1:4" ht="18.399999999999999" customHeight="1">
      <c r="A13" s="354"/>
      <c r="B13" s="354">
        <v>15</v>
      </c>
      <c r="C13" s="354" t="str">
        <f>VLOOKUP(B13,紀錄表!$A$3:$B$30,2,0)</f>
        <v>藍彩華</v>
      </c>
      <c r="D13" s="355" t="s">
        <v>432</v>
      </c>
    </row>
    <row r="14" spans="1:4" ht="18.399999999999999" customHeight="1">
      <c r="A14" s="354"/>
      <c r="B14" s="354">
        <v>19</v>
      </c>
      <c r="C14" s="354" t="str">
        <f>VLOOKUP(B14,紀錄表!$A$3:$B$30,2,0)</f>
        <v>吳羽棠</v>
      </c>
      <c r="D14" s="355" t="s">
        <v>433</v>
      </c>
    </row>
    <row r="15" spans="1:4" ht="18.399999999999999" customHeight="1">
      <c r="A15" s="354"/>
      <c r="B15" s="354">
        <v>2</v>
      </c>
      <c r="C15" s="354" t="str">
        <f>VLOOKUP(B15,紀錄表!$A$3:$B$30,2,0)</f>
        <v>周宗慶</v>
      </c>
      <c r="D15" s="355" t="s">
        <v>434</v>
      </c>
    </row>
    <row r="16" spans="1:4" ht="18.399999999999999" customHeight="1">
      <c r="A16" s="354"/>
      <c r="B16" s="354">
        <v>14</v>
      </c>
      <c r="C16" s="354" t="str">
        <f>VLOOKUP(B16,紀錄表!$A$3:$B$30,2,0)</f>
        <v>高翊庭</v>
      </c>
      <c r="D16" s="355" t="s">
        <v>435</v>
      </c>
    </row>
    <row r="17" spans="1:4" ht="18.399999999999999" customHeight="1">
      <c r="A17" s="354"/>
      <c r="B17" s="354">
        <v>17</v>
      </c>
      <c r="C17" s="354" t="str">
        <f>VLOOKUP(B17,紀錄表!$A$3:$B$30,2,0)</f>
        <v>張智函</v>
      </c>
      <c r="D17" s="355" t="s">
        <v>436</v>
      </c>
    </row>
    <row r="18" spans="1:4" ht="18.399999999999999" customHeight="1">
      <c r="A18" s="463" t="s">
        <v>167</v>
      </c>
      <c r="B18" s="354">
        <v>2</v>
      </c>
      <c r="C18" s="354" t="str">
        <f>VLOOKUP(B18,紀錄表!$A$3:$B$30,2,0)</f>
        <v>周宗慶</v>
      </c>
      <c r="D18" s="355" t="s">
        <v>921</v>
      </c>
    </row>
    <row r="19" spans="1:4" ht="18.399999999999999" customHeight="1">
      <c r="A19" s="463"/>
      <c r="B19" s="354">
        <v>3</v>
      </c>
      <c r="C19" s="354" t="str">
        <f>VLOOKUP(B19,紀錄表!$A$3:$B$30,2,0)</f>
        <v>林昱任</v>
      </c>
      <c r="D19" s="355" t="s">
        <v>1027</v>
      </c>
    </row>
    <row r="20" spans="1:4" ht="18.399999999999999" customHeight="1">
      <c r="A20" s="463"/>
      <c r="B20" s="354">
        <v>17</v>
      </c>
      <c r="C20" s="354" t="str">
        <f>VLOOKUP(B20,紀錄表!$A$3:$B$30,2,0)</f>
        <v>張智函</v>
      </c>
      <c r="D20" s="355" t="s">
        <v>1028</v>
      </c>
    </row>
    <row r="21" spans="1:4" ht="18.399999999999999" customHeight="1">
      <c r="A21" s="463" t="s">
        <v>170</v>
      </c>
      <c r="B21" s="463"/>
      <c r="C21" s="463"/>
      <c r="D21" s="463"/>
    </row>
    <row r="22" spans="1:4" ht="18.399999999999999" customHeight="1">
      <c r="A22" s="356" t="s">
        <v>162</v>
      </c>
      <c r="B22" s="428">
        <v>15</v>
      </c>
      <c r="C22" s="354" t="str">
        <f>VLOOKUP(B22,紀錄表!$A$3:$B$30,2,0)</f>
        <v>藍彩華</v>
      </c>
      <c r="D22" s="357" t="s">
        <v>438</v>
      </c>
    </row>
    <row r="23" spans="1:4" ht="18.399999999999999" customHeight="1">
      <c r="A23" s="463" t="s">
        <v>171</v>
      </c>
      <c r="B23" s="427">
        <v>22</v>
      </c>
      <c r="C23" s="354" t="str">
        <f>VLOOKUP(B23,紀錄表!$A$3:$B$30,2,0)</f>
        <v>邱詩涵</v>
      </c>
      <c r="D23" s="355" t="s">
        <v>172</v>
      </c>
    </row>
    <row r="24" spans="1:4" ht="18.399999999999999" customHeight="1">
      <c r="A24" s="463"/>
      <c r="B24" s="427">
        <v>6</v>
      </c>
      <c r="C24" s="354" t="str">
        <f>VLOOKUP(B24,紀錄表!$A$3:$B$30,2,0)</f>
        <v>王奕勳</v>
      </c>
      <c r="D24" s="355" t="s">
        <v>173</v>
      </c>
    </row>
    <row r="25" spans="1:4" ht="18.399999999999999" customHeight="1">
      <c r="A25" s="465" t="s">
        <v>174</v>
      </c>
      <c r="B25" s="427">
        <v>18</v>
      </c>
      <c r="C25" s="354" t="str">
        <f>VLOOKUP(B25,紀錄表!$A$3:$B$30,2,0)</f>
        <v>許凌菲</v>
      </c>
      <c r="D25" s="355" t="s">
        <v>887</v>
      </c>
    </row>
    <row r="26" spans="1:4" ht="18.399999999999999" customHeight="1">
      <c r="A26" s="466"/>
      <c r="B26" s="427">
        <v>1</v>
      </c>
      <c r="C26" s="354" t="str">
        <f>VLOOKUP(B26,紀錄表!$A$3:$B$30,2,0)</f>
        <v>陳威劭</v>
      </c>
      <c r="D26" s="355" t="s">
        <v>888</v>
      </c>
    </row>
    <row r="27" spans="1:4" ht="18.399999999999999" customHeight="1">
      <c r="A27" s="466"/>
      <c r="B27" s="427">
        <v>14</v>
      </c>
      <c r="C27" s="354" t="str">
        <f>VLOOKUP(B27,紀錄表!$A$3:$B$30,2,0)</f>
        <v>高翊庭</v>
      </c>
      <c r="D27" s="355" t="s">
        <v>889</v>
      </c>
    </row>
    <row r="28" spans="1:4" ht="18.399999999999999" customHeight="1">
      <c r="A28" s="466"/>
      <c r="B28" s="427">
        <v>4</v>
      </c>
      <c r="C28" s="354" t="str">
        <f>VLOOKUP(B28,紀錄表!$A$3:$B$30,2,0)</f>
        <v>李奎煜</v>
      </c>
      <c r="D28" s="355" t="s">
        <v>890</v>
      </c>
    </row>
    <row r="29" spans="1:4" ht="18.399999999999999" customHeight="1">
      <c r="A29" s="466"/>
      <c r="B29" s="427">
        <v>7</v>
      </c>
      <c r="C29" s="354" t="str">
        <f>VLOOKUP(B29,紀錄表!$A$3:$B$30,2,0)</f>
        <v>葉彥均</v>
      </c>
      <c r="D29" s="355" t="s">
        <v>891</v>
      </c>
    </row>
    <row r="30" spans="1:4" ht="18.399999999999999" customHeight="1">
      <c r="A30" s="466"/>
      <c r="B30" s="427">
        <v>13</v>
      </c>
      <c r="C30" s="354" t="str">
        <f>VLOOKUP(B30,紀錄表!$A$3:$B$30,2,0)</f>
        <v>林季曄</v>
      </c>
      <c r="D30" s="355" t="s">
        <v>892</v>
      </c>
    </row>
    <row r="31" spans="1:4" ht="18.399999999999999" customHeight="1">
      <c r="A31" s="463" t="s">
        <v>201</v>
      </c>
      <c r="B31" s="427">
        <v>24</v>
      </c>
      <c r="C31" s="354" t="str">
        <f>VLOOKUP(B31,紀錄表!$A$3:$B$30,2,0)</f>
        <v>王姿涵</v>
      </c>
      <c r="D31" s="464" t="s">
        <v>1030</v>
      </c>
    </row>
    <row r="32" spans="1:4" ht="18.399999999999999" customHeight="1">
      <c r="A32" s="463"/>
      <c r="B32" s="427">
        <v>25</v>
      </c>
      <c r="C32" s="354" t="str">
        <f>VLOOKUP(B32,紀錄表!$A$3:$B$30,2,0)</f>
        <v>林昱萱</v>
      </c>
      <c r="D32" s="464"/>
    </row>
    <row r="33" spans="1:4" ht="18.399999999999999" customHeight="1">
      <c r="A33" s="470" t="s">
        <v>202</v>
      </c>
      <c r="B33" s="428">
        <v>2</v>
      </c>
      <c r="C33" s="354" t="str">
        <f>VLOOKUP(B33,紀錄表!$A$3:$B$30,2,0)</f>
        <v>周宗慶</v>
      </c>
      <c r="D33" s="357" t="s">
        <v>442</v>
      </c>
    </row>
    <row r="34" spans="1:4" ht="18.399999999999999" customHeight="1">
      <c r="A34" s="472"/>
      <c r="B34" s="429">
        <v>3</v>
      </c>
      <c r="C34" s="354" t="str">
        <f>VLOOKUP(B34,紀錄表!$A$3:$B$30,2,0)</f>
        <v>林昱任</v>
      </c>
      <c r="D34" s="357" t="s">
        <v>442</v>
      </c>
    </row>
    <row r="35" spans="1:4" ht="18.399999999999999" customHeight="1">
      <c r="A35" s="470" t="s">
        <v>175</v>
      </c>
      <c r="B35" s="427">
        <v>8</v>
      </c>
      <c r="C35" s="354" t="str">
        <f>VLOOKUP(B35,紀錄表!$A$3:$B$30,2,0)</f>
        <v>洪楷珅</v>
      </c>
      <c r="D35" s="355" t="s">
        <v>893</v>
      </c>
    </row>
    <row r="36" spans="1:4" ht="18.399999999999999" customHeight="1">
      <c r="A36" s="472"/>
      <c r="B36" s="427">
        <v>12</v>
      </c>
      <c r="C36" s="354" t="str">
        <f>VLOOKUP(B36,紀錄表!$A$3:$B$30,2,0)</f>
        <v>魏宇謙</v>
      </c>
      <c r="D36" s="355" t="s">
        <v>894</v>
      </c>
    </row>
    <row r="37" spans="1:4" ht="18.399999999999999" customHeight="1">
      <c r="A37" s="470" t="s">
        <v>177</v>
      </c>
      <c r="B37" s="427">
        <v>9</v>
      </c>
      <c r="C37" s="354" t="str">
        <f>VLOOKUP(B37,紀錄表!$A$3:$B$30,2,0)</f>
        <v>吳承哲</v>
      </c>
      <c r="D37" s="425" t="s">
        <v>895</v>
      </c>
    </row>
    <row r="38" spans="1:4" ht="18.399999999999999" customHeight="1">
      <c r="A38" s="471"/>
      <c r="B38" s="427">
        <v>20</v>
      </c>
      <c r="C38" s="354" t="str">
        <f>VLOOKUP(B38,紀錄表!$A$3:$B$30,2,0)</f>
        <v>蔡羽媗</v>
      </c>
      <c r="D38" s="425" t="s">
        <v>895</v>
      </c>
    </row>
    <row r="39" spans="1:4" ht="18.399999999999999" customHeight="1">
      <c r="A39" s="471"/>
      <c r="B39" s="430">
        <v>21</v>
      </c>
      <c r="C39" s="389" t="str">
        <f>VLOOKUP(B39,紀錄表!$A$3:$B$30,2,0)</f>
        <v>楊筱歆</v>
      </c>
      <c r="D39" s="425" t="s">
        <v>895</v>
      </c>
    </row>
    <row r="40" spans="1:4" ht="18.399999999999999" customHeight="1">
      <c r="A40" s="471"/>
      <c r="B40" s="428">
        <v>23</v>
      </c>
      <c r="C40" s="354" t="str">
        <f>VLOOKUP(B40,紀錄表!$A$3:$B$30,2,0)</f>
        <v>張涵甯</v>
      </c>
      <c r="D40" s="426" t="s">
        <v>1031</v>
      </c>
    </row>
    <row r="41" spans="1:4" ht="18.399999999999999" customHeight="1">
      <c r="A41" s="472"/>
      <c r="B41" s="430">
        <v>26</v>
      </c>
      <c r="C41" s="354" t="str">
        <f>VLOOKUP(B41,紀錄表!$A$3:$B$30,2,0)</f>
        <v>李文</v>
      </c>
      <c r="D41" s="355" t="s">
        <v>440</v>
      </c>
    </row>
    <row r="42" spans="1:4" ht="18.399999999999999" customHeight="1">
      <c r="A42" s="359" t="s">
        <v>179</v>
      </c>
      <c r="B42" s="427">
        <v>17</v>
      </c>
      <c r="C42" s="354" t="str">
        <f>VLOOKUP(B42,紀錄表!$A$3:$B$30,2,0)</f>
        <v>張智函</v>
      </c>
      <c r="D42" s="355" t="s">
        <v>440</v>
      </c>
    </row>
    <row r="43" spans="1:4" ht="18.399999999999999" customHeight="1">
      <c r="A43" s="354" t="s">
        <v>437</v>
      </c>
      <c r="B43" s="427">
        <v>5</v>
      </c>
      <c r="C43" s="354" t="str">
        <f>VLOOKUP(B43,紀錄表!$A$3:$B$30,2,0)</f>
        <v>葉翃均</v>
      </c>
      <c r="D43" s="355" t="s">
        <v>441</v>
      </c>
    </row>
    <row r="44" spans="1:4" ht="18.399999999999999" customHeight="1">
      <c r="A44" s="467" t="s">
        <v>896</v>
      </c>
      <c r="B44" s="427">
        <v>11</v>
      </c>
      <c r="C44" s="354" t="str">
        <f>VLOOKUP(B44,紀錄表!$A$3:$B$30,2,0)</f>
        <v>柯皓哲</v>
      </c>
      <c r="D44" s="355" t="s">
        <v>439</v>
      </c>
    </row>
    <row r="45" spans="1:4" ht="18.399999999999999" customHeight="1">
      <c r="A45" s="466"/>
      <c r="B45" s="427">
        <v>10</v>
      </c>
      <c r="C45" s="354" t="str">
        <f>VLOOKUP(B45,紀錄表!$A$3:$B$30,2,0)</f>
        <v>李宥霆</v>
      </c>
      <c r="D45" s="355" t="s">
        <v>439</v>
      </c>
    </row>
    <row r="46" spans="1:4" ht="18.399999999999999" customHeight="1">
      <c r="A46" s="468"/>
      <c r="B46" s="427">
        <v>16</v>
      </c>
      <c r="C46" s="354" t="str">
        <f>VLOOKUP(B46,紀錄表!$A$3:$B$30,2,0)</f>
        <v>曾琛晞</v>
      </c>
      <c r="D46" s="355" t="s">
        <v>439</v>
      </c>
    </row>
    <row r="47" spans="1:4" ht="18.399999999999999" customHeight="1">
      <c r="A47" s="390"/>
      <c r="B47" s="427">
        <v>19</v>
      </c>
      <c r="C47" s="354" t="str">
        <f>VLOOKUP(B47,紀錄表!$A$3:$B$30,2,0)</f>
        <v>吳羽棠</v>
      </c>
      <c r="D47" s="355" t="s">
        <v>439</v>
      </c>
    </row>
    <row r="48" spans="1:4" ht="27.75" customHeight="1">
      <c r="A48" s="463" t="s">
        <v>180</v>
      </c>
      <c r="B48" s="463"/>
      <c r="C48" s="463"/>
      <c r="D48" s="463"/>
    </row>
    <row r="49" spans="1:4" ht="21" customHeight="1">
      <c r="A49" s="354" t="s">
        <v>154</v>
      </c>
      <c r="B49" s="354">
        <v>13</v>
      </c>
      <c r="C49" s="354" t="str">
        <f>VLOOKUP(B49,紀錄表!$A$3:$B$30,2,0)</f>
        <v>林季曄</v>
      </c>
      <c r="D49" s="355" t="s">
        <v>155</v>
      </c>
    </row>
    <row r="50" spans="1:4" ht="21" customHeight="1">
      <c r="A50" s="354" t="s">
        <v>156</v>
      </c>
      <c r="B50" s="354">
        <v>15</v>
      </c>
      <c r="C50" s="354" t="str">
        <f>VLOOKUP(B50,紀錄表!$A$3:$B$30,2,0)</f>
        <v>藍彩華</v>
      </c>
      <c r="D50" s="355" t="s">
        <v>157</v>
      </c>
    </row>
    <row r="51" spans="1:4" ht="21" customHeight="1">
      <c r="A51" s="354" t="s">
        <v>158</v>
      </c>
      <c r="B51" s="354">
        <v>22</v>
      </c>
      <c r="C51" s="354" t="str">
        <f>VLOOKUP(B51,紀錄表!$A$3:$B$30,2,0)</f>
        <v>邱詩涵</v>
      </c>
      <c r="D51" s="355" t="s">
        <v>159</v>
      </c>
    </row>
    <row r="52" spans="1:4" ht="21" customHeight="1">
      <c r="A52" s="463" t="s">
        <v>160</v>
      </c>
      <c r="B52" s="354">
        <v>16</v>
      </c>
      <c r="C52" s="354" t="str">
        <f>VLOOKUP(B52,紀錄表!$A$3:$B$30,2,0)</f>
        <v>曾琛晞</v>
      </c>
      <c r="D52" s="355" t="s">
        <v>161</v>
      </c>
    </row>
    <row r="53" spans="1:4" ht="21" customHeight="1">
      <c r="A53" s="463"/>
      <c r="B53" s="354">
        <v>4</v>
      </c>
      <c r="C53" s="354" t="str">
        <f>VLOOKUP(B53,紀錄表!$A$3:$B$30,2,0)</f>
        <v>李奎煜</v>
      </c>
      <c r="D53" s="355" t="s">
        <v>161</v>
      </c>
    </row>
    <row r="54" spans="1:4" ht="21" customHeight="1">
      <c r="A54" s="354" t="s">
        <v>162</v>
      </c>
      <c r="B54" s="354">
        <v>7</v>
      </c>
      <c r="C54" s="354" t="str">
        <f>VLOOKUP(B54,紀錄表!$A$3:$B$30,2,0)</f>
        <v>葉彥均</v>
      </c>
      <c r="D54" s="355" t="s">
        <v>163</v>
      </c>
    </row>
    <row r="55" spans="1:4" ht="21" customHeight="1">
      <c r="A55" s="356"/>
      <c r="B55" s="356">
        <v>12</v>
      </c>
      <c r="C55" s="354" t="str">
        <f>VLOOKUP(B55,紀錄表!$A$3:$B$30,2,0)</f>
        <v>魏宇謙</v>
      </c>
      <c r="D55" s="355" t="s">
        <v>163</v>
      </c>
    </row>
    <row r="56" spans="1:4" ht="21" customHeight="1">
      <c r="A56" s="463" t="s">
        <v>164</v>
      </c>
      <c r="B56" s="354">
        <v>7</v>
      </c>
      <c r="C56" s="354" t="str">
        <f>VLOOKUP(B56,紀錄表!$A$3:$B$30,2,0)</f>
        <v>葉彥均</v>
      </c>
      <c r="D56" s="355" t="s">
        <v>165</v>
      </c>
    </row>
    <row r="57" spans="1:4" ht="21" customHeight="1">
      <c r="A57" s="463"/>
      <c r="B57" s="354">
        <v>1</v>
      </c>
      <c r="C57" s="354" t="str">
        <f>VLOOKUP(B57,紀錄表!$A$3:$B$30,2,0)</f>
        <v>陳威劭</v>
      </c>
      <c r="D57" s="355" t="s">
        <v>165</v>
      </c>
    </row>
    <row r="58" spans="1:4" ht="21" customHeight="1">
      <c r="A58" s="463" t="s">
        <v>167</v>
      </c>
      <c r="B58" s="354">
        <v>9</v>
      </c>
      <c r="C58" s="354" t="str">
        <f>VLOOKUP(B58,紀錄表!$A$3:$B$30,2,0)</f>
        <v>吳承哲</v>
      </c>
      <c r="D58" s="355" t="s">
        <v>168</v>
      </c>
    </row>
    <row r="59" spans="1:4" ht="21" customHeight="1">
      <c r="A59" s="463"/>
      <c r="B59" s="354">
        <v>5</v>
      </c>
      <c r="C59" s="354" t="str">
        <f>VLOOKUP(B59,紀錄表!$A$3:$B$30,2,0)</f>
        <v>葉翃均</v>
      </c>
      <c r="D59" s="355" t="s">
        <v>168</v>
      </c>
    </row>
    <row r="60" spans="1:4" ht="21" customHeight="1">
      <c r="A60" s="463"/>
      <c r="B60" s="354">
        <v>16</v>
      </c>
      <c r="C60" s="354" t="str">
        <f>VLOOKUP(B60,紀錄表!$A$3:$B$30,2,0)</f>
        <v>曾琛晞</v>
      </c>
      <c r="D60" s="355" t="s">
        <v>168</v>
      </c>
    </row>
    <row r="62" spans="1:4" ht="32.25" customHeight="1">
      <c r="A62" s="463" t="s">
        <v>169</v>
      </c>
      <c r="B62" s="463"/>
      <c r="C62" s="463"/>
      <c r="D62" s="463"/>
    </row>
    <row r="63" spans="1:4" ht="33" customHeight="1">
      <c r="A63" s="463" t="s">
        <v>170</v>
      </c>
      <c r="B63" s="463"/>
      <c r="C63" s="463"/>
      <c r="D63" s="463"/>
    </row>
    <row r="64" spans="1:4" ht="20.25" customHeight="1">
      <c r="A64" s="463" t="s">
        <v>171</v>
      </c>
      <c r="B64" s="354">
        <v>1</v>
      </c>
      <c r="C64" s="354" t="str">
        <f>VLOOKUP(B64,紀錄表!$A$3:$B$30,2,0)</f>
        <v>陳威劭</v>
      </c>
      <c r="D64" s="355" t="s">
        <v>172</v>
      </c>
    </row>
    <row r="65" spans="1:4" ht="20.25" customHeight="1">
      <c r="A65" s="463"/>
      <c r="B65" s="354">
        <v>22</v>
      </c>
      <c r="C65" s="354" t="str">
        <f>VLOOKUP(B65,紀錄表!$A$3:$B$30,2,0)</f>
        <v>邱詩涵</v>
      </c>
      <c r="D65" s="355" t="s">
        <v>173</v>
      </c>
    </row>
    <row r="66" spans="1:4" ht="20.25" customHeight="1">
      <c r="A66" s="463" t="s">
        <v>181</v>
      </c>
      <c r="B66" s="354">
        <v>21</v>
      </c>
      <c r="C66" s="354" t="str">
        <f>VLOOKUP(B66,紀錄表!$A$3:$B$30,2,0)</f>
        <v>楊筱歆</v>
      </c>
      <c r="D66" s="355" t="s">
        <v>182</v>
      </c>
    </row>
    <row r="67" spans="1:4" ht="20.25" customHeight="1">
      <c r="A67" s="463"/>
      <c r="B67" s="354">
        <v>3</v>
      </c>
      <c r="C67" s="354" t="str">
        <f>VLOOKUP(B67,紀錄表!$A$3:$B$30,2,0)</f>
        <v>林昱任</v>
      </c>
      <c r="D67" s="355" t="s">
        <v>183</v>
      </c>
    </row>
    <row r="68" spans="1:4" ht="20.25" customHeight="1">
      <c r="A68" s="463"/>
      <c r="B68" s="354">
        <v>2</v>
      </c>
      <c r="C68" s="354" t="str">
        <f>VLOOKUP(B68,紀錄表!$A$3:$B$30,2,0)</f>
        <v>周宗慶</v>
      </c>
      <c r="D68" s="355" t="s">
        <v>184</v>
      </c>
    </row>
    <row r="69" spans="1:4" ht="20.25" customHeight="1">
      <c r="A69" s="463" t="s">
        <v>185</v>
      </c>
      <c r="B69" s="354">
        <v>5</v>
      </c>
      <c r="C69" s="354" t="str">
        <f>VLOOKUP(B69,紀錄表!$A$3:$B$30,2,0)</f>
        <v>葉翃均</v>
      </c>
      <c r="D69" s="464" t="s">
        <v>186</v>
      </c>
    </row>
    <row r="70" spans="1:4" ht="20.25" customHeight="1">
      <c r="A70" s="463"/>
      <c r="B70" s="354">
        <v>17</v>
      </c>
      <c r="C70" s="354" t="str">
        <f>VLOOKUP(B70,紀錄表!$A$3:$B$30,2,0)</f>
        <v>張智函</v>
      </c>
      <c r="D70" s="464"/>
    </row>
    <row r="71" spans="1:4" ht="20.25" customHeight="1">
      <c r="A71" s="354" t="s">
        <v>175</v>
      </c>
      <c r="B71" s="354">
        <v>9</v>
      </c>
      <c r="C71" s="354" t="str">
        <f>VLOOKUP(B71,紀錄表!$A$3:$B$30,2,0)</f>
        <v>吳承哲</v>
      </c>
      <c r="D71" s="355" t="s">
        <v>176</v>
      </c>
    </row>
    <row r="72" spans="1:4" ht="20.25" customHeight="1">
      <c r="A72" s="463" t="s">
        <v>177</v>
      </c>
      <c r="B72" s="354">
        <v>18</v>
      </c>
      <c r="C72" s="354" t="str">
        <f>VLOOKUP(B72,紀錄表!$A$3:$B$30,2,0)</f>
        <v>許凌菲</v>
      </c>
      <c r="D72" s="464" t="s">
        <v>178</v>
      </c>
    </row>
    <row r="73" spans="1:4" ht="20.25" customHeight="1">
      <c r="A73" s="463"/>
      <c r="B73" s="354">
        <v>19</v>
      </c>
      <c r="C73" s="354" t="str">
        <f>VLOOKUP(B73,紀錄表!$A$3:$B$30,2,0)</f>
        <v>吳羽棠</v>
      </c>
      <c r="D73" s="464"/>
    </row>
    <row r="74" spans="1:4" ht="20.25" customHeight="1">
      <c r="A74" s="463"/>
      <c r="B74" s="354">
        <v>12</v>
      </c>
      <c r="C74" s="354" t="str">
        <f>VLOOKUP(B74,紀錄表!$A$3:$B$30,2,0)</f>
        <v>魏宇謙</v>
      </c>
      <c r="D74" s="464"/>
    </row>
    <row r="75" spans="1:4" ht="20.25" customHeight="1">
      <c r="A75" s="463"/>
      <c r="B75" s="354">
        <v>6</v>
      </c>
      <c r="C75" s="354" t="str">
        <f>VLOOKUP(B75,紀錄表!$A$3:$B$30,2,0)</f>
        <v>王奕勳</v>
      </c>
      <c r="D75" s="464"/>
    </row>
    <row r="76" spans="1:4" ht="20.25" customHeight="1">
      <c r="A76" s="463" t="s">
        <v>179</v>
      </c>
      <c r="B76" s="354">
        <v>14</v>
      </c>
      <c r="C76" s="354" t="str">
        <f>VLOOKUP(B76,紀錄表!$A$3:$B$30,2,0)</f>
        <v>高翊庭</v>
      </c>
      <c r="D76" s="355" t="s">
        <v>187</v>
      </c>
    </row>
    <row r="77" spans="1:4" ht="20.25" customHeight="1">
      <c r="A77" s="463"/>
      <c r="B77" s="354">
        <v>11</v>
      </c>
      <c r="C77" s="354" t="str">
        <f>VLOOKUP(B77,紀錄表!$A$3:$B$30,2,0)</f>
        <v>柯皓哲</v>
      </c>
      <c r="D77" s="355" t="s">
        <v>188</v>
      </c>
    </row>
    <row r="78" spans="1:4" ht="31.5" customHeight="1">
      <c r="A78" s="463" t="s">
        <v>189</v>
      </c>
      <c r="B78" s="463"/>
      <c r="C78" s="463"/>
      <c r="D78" s="463"/>
    </row>
    <row r="79" spans="1:4" ht="20.25" customHeight="1">
      <c r="A79" s="469" t="s">
        <v>190</v>
      </c>
      <c r="B79" s="354">
        <v>23</v>
      </c>
      <c r="C79" s="354" t="str">
        <f>VLOOKUP(B79,紀錄表!$A$3:$B$30,2,0)</f>
        <v>張涵甯</v>
      </c>
      <c r="D79" s="464" t="s">
        <v>191</v>
      </c>
    </row>
    <row r="80" spans="1:4" ht="20.25" customHeight="1">
      <c r="A80" s="469"/>
      <c r="B80" s="354">
        <v>7</v>
      </c>
      <c r="C80" s="354" t="str">
        <f>VLOOKUP(B80,紀錄表!$A$3:$B$30,2,0)</f>
        <v>葉彥均</v>
      </c>
      <c r="D80" s="464"/>
    </row>
    <row r="81" spans="1:4" ht="20.25" customHeight="1">
      <c r="A81" s="469"/>
      <c r="B81" s="354">
        <v>25</v>
      </c>
      <c r="C81" s="354" t="str">
        <f>VLOOKUP(B81,紀錄表!$A$3:$B$30,2,0)</f>
        <v>林昱萱</v>
      </c>
      <c r="D81" s="464"/>
    </row>
    <row r="82" spans="1:4" ht="20.25" customHeight="1">
      <c r="A82" s="469" t="s">
        <v>192</v>
      </c>
      <c r="B82" s="354">
        <v>10</v>
      </c>
      <c r="C82" s="354" t="str">
        <f>VLOOKUP(B82,紀錄表!$A$3:$B$30,2,0)</f>
        <v>李宥霆</v>
      </c>
      <c r="D82" s="464" t="s">
        <v>191</v>
      </c>
    </row>
    <row r="83" spans="1:4" ht="20.25" customHeight="1">
      <c r="A83" s="469"/>
      <c r="B83" s="354">
        <v>15</v>
      </c>
      <c r="C83" s="354" t="str">
        <f>VLOOKUP(B83,紀錄表!$A$3:$B$30,2,0)</f>
        <v>藍彩華</v>
      </c>
      <c r="D83" s="464"/>
    </row>
    <row r="84" spans="1:4" ht="20.25" customHeight="1">
      <c r="A84" s="469"/>
      <c r="B84" s="354">
        <v>16</v>
      </c>
      <c r="C84" s="354" t="str">
        <f>VLOOKUP(B84,紀錄表!$A$3:$B$30,2,0)</f>
        <v>曾琛晞</v>
      </c>
      <c r="D84" s="464"/>
    </row>
    <row r="85" spans="1:4" ht="20.25" customHeight="1">
      <c r="A85" s="463" t="s">
        <v>193</v>
      </c>
      <c r="B85" s="354">
        <v>20</v>
      </c>
      <c r="C85" s="354" t="str">
        <f>VLOOKUP(B85,紀錄表!$A$3:$B$30,2,0)</f>
        <v>蔡羽媗</v>
      </c>
      <c r="D85" s="464" t="s">
        <v>191</v>
      </c>
    </row>
    <row r="86" spans="1:4" ht="20.25" customHeight="1">
      <c r="A86" s="463"/>
      <c r="B86" s="354">
        <v>4</v>
      </c>
      <c r="C86" s="354" t="str">
        <f>VLOOKUP(B86,紀錄表!$A$3:$B$30,2,0)</f>
        <v>李奎煜</v>
      </c>
      <c r="D86" s="464"/>
    </row>
    <row r="87" spans="1:4" ht="20.25" customHeight="1">
      <c r="A87" s="463"/>
      <c r="B87" s="354">
        <v>13</v>
      </c>
      <c r="C87" s="354" t="str">
        <f>VLOOKUP(B87,紀錄表!$A$3:$B$30,2,0)</f>
        <v>林季曄</v>
      </c>
      <c r="D87" s="464"/>
    </row>
  </sheetData>
  <mergeCells count="34">
    <mergeCell ref="D69:D70"/>
    <mergeCell ref="A37:A41"/>
    <mergeCell ref="A1:C1"/>
    <mergeCell ref="A5:A6"/>
    <mergeCell ref="A7:A8"/>
    <mergeCell ref="A9:A10"/>
    <mergeCell ref="A18:A20"/>
    <mergeCell ref="A35:A36"/>
    <mergeCell ref="A33:A34"/>
    <mergeCell ref="A21:D21"/>
    <mergeCell ref="D85:D87"/>
    <mergeCell ref="A76:A77"/>
    <mergeCell ref="A78:D78"/>
    <mergeCell ref="A79:A81"/>
    <mergeCell ref="D79:D81"/>
    <mergeCell ref="A82:A84"/>
    <mergeCell ref="D82:D84"/>
    <mergeCell ref="A85:A87"/>
    <mergeCell ref="A72:A75"/>
    <mergeCell ref="D72:D75"/>
    <mergeCell ref="A63:D63"/>
    <mergeCell ref="A23:A24"/>
    <mergeCell ref="A25:A30"/>
    <mergeCell ref="A31:A32"/>
    <mergeCell ref="D31:D32"/>
    <mergeCell ref="A48:D48"/>
    <mergeCell ref="A52:A53"/>
    <mergeCell ref="A56:A57"/>
    <mergeCell ref="A58:A60"/>
    <mergeCell ref="A62:D62"/>
    <mergeCell ref="A44:A46"/>
    <mergeCell ref="A64:A65"/>
    <mergeCell ref="A66:A68"/>
    <mergeCell ref="A69:A70"/>
  </mergeCells>
  <phoneticPr fontId="2" type="noConversion"/>
  <pageMargins left="0.19685039370078741" right="0.19685039370078741" top="0.19685039370078741" bottom="0.19685039370078741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30"/>
  <sheetViews>
    <sheetView zoomScale="90" zoomScaleNormal="90"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K8" sqref="K8"/>
    </sheetView>
  </sheetViews>
  <sheetFormatPr defaultRowHeight="16.5"/>
  <cols>
    <col min="1" max="1" width="5" style="78" customWidth="1"/>
    <col min="2" max="2" width="7.625" style="78" customWidth="1"/>
    <col min="3" max="8" width="6.625" style="145" customWidth="1"/>
    <col min="9" max="53" width="3.875" style="145" customWidth="1"/>
    <col min="54" max="54" width="9" style="145"/>
    <col min="55" max="16384" width="9" style="78"/>
  </cols>
  <sheetData>
    <row r="1" spans="1:53">
      <c r="A1" s="475">
        <v>307</v>
      </c>
      <c r="B1" s="476"/>
      <c r="C1" s="475" t="s">
        <v>381</v>
      </c>
      <c r="D1" s="477"/>
      <c r="E1" s="478"/>
      <c r="F1" s="478"/>
      <c r="G1" s="478"/>
      <c r="H1" s="178"/>
      <c r="I1" s="210" t="s">
        <v>866</v>
      </c>
      <c r="J1" s="178" t="s">
        <v>867</v>
      </c>
      <c r="K1" s="331" t="s">
        <v>305</v>
      </c>
      <c r="L1" s="331" t="s">
        <v>305</v>
      </c>
      <c r="M1" s="331" t="s">
        <v>305</v>
      </c>
      <c r="N1" s="331" t="s">
        <v>305</v>
      </c>
      <c r="O1" s="331" t="s">
        <v>305</v>
      </c>
      <c r="P1" s="331" t="s">
        <v>305</v>
      </c>
      <c r="Q1" s="331" t="s">
        <v>305</v>
      </c>
      <c r="R1" s="331" t="s">
        <v>305</v>
      </c>
      <c r="S1" s="331" t="s">
        <v>305</v>
      </c>
      <c r="T1" s="331" t="s">
        <v>305</v>
      </c>
      <c r="U1" s="331" t="s">
        <v>305</v>
      </c>
      <c r="V1" s="331" t="s">
        <v>305</v>
      </c>
      <c r="W1" s="331" t="s">
        <v>305</v>
      </c>
      <c r="X1" s="331" t="s">
        <v>305</v>
      </c>
      <c r="Y1" s="331" t="s">
        <v>305</v>
      </c>
      <c r="Z1" s="331" t="s">
        <v>305</v>
      </c>
      <c r="AA1" s="331" t="s">
        <v>305</v>
      </c>
      <c r="AB1" s="331" t="s">
        <v>305</v>
      </c>
      <c r="AC1" s="331" t="s">
        <v>305</v>
      </c>
      <c r="AD1" s="331" t="s">
        <v>869</v>
      </c>
      <c r="AE1" s="331" t="s">
        <v>869</v>
      </c>
      <c r="AF1" s="331" t="s">
        <v>868</v>
      </c>
      <c r="AG1" s="331" t="s">
        <v>868</v>
      </c>
      <c r="AH1" s="331" t="s">
        <v>868</v>
      </c>
      <c r="AI1" s="331" t="s">
        <v>868</v>
      </c>
      <c r="AJ1" s="331" t="s">
        <v>868</v>
      </c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146"/>
    </row>
    <row r="2" spans="1:53">
      <c r="A2" s="147" t="s">
        <v>102</v>
      </c>
      <c r="B2" s="135" t="s">
        <v>0</v>
      </c>
      <c r="C2" s="146" t="s">
        <v>870</v>
      </c>
      <c r="D2" s="331" t="s">
        <v>871</v>
      </c>
      <c r="E2" s="146" t="s">
        <v>377</v>
      </c>
      <c r="F2" s="146" t="s">
        <v>872</v>
      </c>
      <c r="G2" s="146" t="s">
        <v>873</v>
      </c>
      <c r="H2" s="178" t="s">
        <v>444</v>
      </c>
      <c r="I2" s="135">
        <v>1</v>
      </c>
      <c r="J2" s="135">
        <v>2</v>
      </c>
      <c r="K2" s="135">
        <v>3</v>
      </c>
      <c r="L2" s="135">
        <v>4</v>
      </c>
      <c r="M2" s="135">
        <v>7</v>
      </c>
      <c r="N2" s="135">
        <v>8</v>
      </c>
      <c r="O2" s="135">
        <v>9</v>
      </c>
      <c r="P2" s="135">
        <v>10</v>
      </c>
      <c r="Q2" s="135">
        <v>11</v>
      </c>
      <c r="R2" s="135">
        <v>12</v>
      </c>
      <c r="S2" s="135">
        <v>16</v>
      </c>
      <c r="T2" s="135">
        <v>17</v>
      </c>
      <c r="U2" s="135">
        <v>18</v>
      </c>
      <c r="V2" s="135">
        <v>19</v>
      </c>
      <c r="W2" s="135">
        <v>22</v>
      </c>
      <c r="X2" s="135">
        <v>23</v>
      </c>
      <c r="Y2" s="135">
        <v>24</v>
      </c>
      <c r="Z2" s="135">
        <v>25</v>
      </c>
      <c r="AA2" s="135">
        <v>26</v>
      </c>
      <c r="AB2" s="135">
        <v>29</v>
      </c>
      <c r="AC2" s="135">
        <v>30</v>
      </c>
      <c r="AD2" s="135">
        <v>1</v>
      </c>
      <c r="AE2" s="135">
        <v>2</v>
      </c>
      <c r="AF2" s="135">
        <v>3</v>
      </c>
      <c r="AG2" s="135">
        <v>6</v>
      </c>
      <c r="AH2" s="135">
        <v>7</v>
      </c>
      <c r="AI2" s="135">
        <v>8</v>
      </c>
      <c r="AJ2" s="212">
        <v>9</v>
      </c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135"/>
      <c r="AZ2" s="136"/>
      <c r="BA2" s="136"/>
    </row>
    <row r="3" spans="1:53" ht="18" customHeight="1">
      <c r="A3" s="147">
        <v>1</v>
      </c>
      <c r="B3" s="135" t="str">
        <f>VLOOKUP(A3,緊急聯絡!A$2:C$27,3,0)</f>
        <v>陳威劭</v>
      </c>
      <c r="C3" s="335">
        <f t="shared" ref="C3:C30" si="0">COUNTIF(I3:AZ3,"1")</f>
        <v>0</v>
      </c>
      <c r="D3" s="335">
        <f t="shared" ref="D3:D30" si="1">COUNTIF(I3:BA3,"2")</f>
        <v>0</v>
      </c>
      <c r="E3" s="335">
        <f t="shared" ref="E3:E30" si="2">COUNTIF(I3:AZ3,"3")</f>
        <v>0</v>
      </c>
      <c r="F3" s="335">
        <f t="shared" ref="F3:F30" si="3">COUNTIF(I3:AZ3,"4")</f>
        <v>0</v>
      </c>
      <c r="G3" s="335">
        <f t="shared" ref="G3:G30" si="4">COUNTIF(I3:AZ3,"5")</f>
        <v>0</v>
      </c>
      <c r="H3" s="178">
        <f>SUM(E3:G3)</f>
        <v>0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212"/>
      <c r="AH3" s="212"/>
      <c r="AI3" s="212"/>
      <c r="AJ3" s="212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135"/>
      <c r="AZ3" s="136"/>
      <c r="BA3" s="136"/>
    </row>
    <row r="4" spans="1:53" ht="18" customHeight="1">
      <c r="A4" s="147">
        <v>2</v>
      </c>
      <c r="B4" s="135" t="str">
        <f>VLOOKUP(A4,緊急聯絡!A$2:C$27,3,0)</f>
        <v>周宗慶</v>
      </c>
      <c r="C4" s="335">
        <f t="shared" si="0"/>
        <v>0</v>
      </c>
      <c r="D4" s="335">
        <f t="shared" si="1"/>
        <v>0</v>
      </c>
      <c r="E4" s="335">
        <f t="shared" si="2"/>
        <v>0</v>
      </c>
      <c r="F4" s="335">
        <f t="shared" si="3"/>
        <v>0</v>
      </c>
      <c r="G4" s="335">
        <f t="shared" si="4"/>
        <v>0</v>
      </c>
      <c r="H4" s="178">
        <f t="shared" ref="H4:H29" si="5">SUM(E4:G4)</f>
        <v>0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212"/>
      <c r="AH4" s="212"/>
      <c r="AI4" s="212"/>
      <c r="AJ4" s="212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135"/>
      <c r="AZ4" s="138"/>
      <c r="BA4" s="138"/>
    </row>
    <row r="5" spans="1:53" ht="18" customHeight="1">
      <c r="A5" s="147">
        <v>3</v>
      </c>
      <c r="B5" s="135" t="str">
        <f>VLOOKUP(A5,緊急聯絡!A$2:C$27,3,0)</f>
        <v>林昱任</v>
      </c>
      <c r="C5" s="335">
        <f t="shared" si="0"/>
        <v>0</v>
      </c>
      <c r="D5" s="335">
        <f t="shared" si="1"/>
        <v>0</v>
      </c>
      <c r="E5" s="335">
        <f t="shared" si="2"/>
        <v>0</v>
      </c>
      <c r="F5" s="335">
        <f t="shared" si="3"/>
        <v>0</v>
      </c>
      <c r="G5" s="335">
        <f t="shared" si="4"/>
        <v>0</v>
      </c>
      <c r="H5" s="178">
        <f t="shared" si="5"/>
        <v>0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212"/>
      <c r="AH5" s="212"/>
      <c r="AI5" s="212"/>
      <c r="AJ5" s="212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135"/>
      <c r="AZ5" s="136"/>
      <c r="BA5" s="136"/>
    </row>
    <row r="6" spans="1:53" ht="18" customHeight="1">
      <c r="A6" s="147">
        <v>4</v>
      </c>
      <c r="B6" s="135" t="str">
        <f>VLOOKUP(A6,緊急聯絡!A$2:C$27,3,0)</f>
        <v>李奎煜</v>
      </c>
      <c r="C6" s="335">
        <f t="shared" si="0"/>
        <v>0</v>
      </c>
      <c r="D6" s="335">
        <f t="shared" si="1"/>
        <v>0</v>
      </c>
      <c r="E6" s="335">
        <f t="shared" si="2"/>
        <v>0</v>
      </c>
      <c r="F6" s="335">
        <f t="shared" si="3"/>
        <v>0</v>
      </c>
      <c r="G6" s="335">
        <f t="shared" si="4"/>
        <v>0</v>
      </c>
      <c r="H6" s="178">
        <f t="shared" si="5"/>
        <v>0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212"/>
      <c r="AH6" s="212"/>
      <c r="AI6" s="212"/>
      <c r="AJ6" s="212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135"/>
      <c r="AZ6" s="136"/>
      <c r="BA6" s="136"/>
    </row>
    <row r="7" spans="1:53" ht="18" customHeight="1">
      <c r="A7" s="147">
        <v>5</v>
      </c>
      <c r="B7" s="135" t="str">
        <f>VLOOKUP(A7,緊急聯絡!A$2:C$27,3,0)</f>
        <v>葉翃均</v>
      </c>
      <c r="C7" s="335">
        <f t="shared" si="0"/>
        <v>0</v>
      </c>
      <c r="D7" s="335">
        <f t="shared" si="1"/>
        <v>0</v>
      </c>
      <c r="E7" s="335">
        <f t="shared" si="2"/>
        <v>0</v>
      </c>
      <c r="F7" s="335">
        <f t="shared" si="3"/>
        <v>0</v>
      </c>
      <c r="G7" s="335">
        <f t="shared" si="4"/>
        <v>0</v>
      </c>
      <c r="H7" s="178">
        <f t="shared" si="5"/>
        <v>0</v>
      </c>
      <c r="I7" s="135"/>
      <c r="J7" s="154"/>
      <c r="K7" s="154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212"/>
      <c r="AH7" s="212"/>
      <c r="AI7" s="212"/>
      <c r="AJ7" s="212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135"/>
      <c r="AZ7" s="136"/>
      <c r="BA7" s="136"/>
    </row>
    <row r="8" spans="1:53" ht="18" customHeight="1">
      <c r="A8" s="147">
        <v>6</v>
      </c>
      <c r="B8" s="135" t="str">
        <f>VLOOKUP(A8,緊急聯絡!A$2:C$27,3,0)</f>
        <v>王奕勳</v>
      </c>
      <c r="C8" s="335">
        <f t="shared" si="0"/>
        <v>0</v>
      </c>
      <c r="D8" s="335">
        <f t="shared" si="1"/>
        <v>0</v>
      </c>
      <c r="E8" s="335">
        <f t="shared" si="2"/>
        <v>0</v>
      </c>
      <c r="F8" s="335">
        <f t="shared" si="3"/>
        <v>0</v>
      </c>
      <c r="G8" s="335">
        <f t="shared" si="4"/>
        <v>0</v>
      </c>
      <c r="H8" s="178">
        <f t="shared" si="5"/>
        <v>0</v>
      </c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212"/>
      <c r="AH8" s="212"/>
      <c r="AI8" s="212"/>
      <c r="AJ8" s="212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135"/>
      <c r="AZ8" s="136"/>
      <c r="BA8" s="136"/>
    </row>
    <row r="9" spans="1:53" ht="18" customHeight="1">
      <c r="A9" s="147">
        <v>7</v>
      </c>
      <c r="B9" s="135" t="str">
        <f>VLOOKUP(A9,緊急聯絡!A$2:C$27,3,0)</f>
        <v>葉彥均</v>
      </c>
      <c r="C9" s="335">
        <f t="shared" si="0"/>
        <v>0</v>
      </c>
      <c r="D9" s="335">
        <f t="shared" si="1"/>
        <v>0</v>
      </c>
      <c r="E9" s="335">
        <f t="shared" si="2"/>
        <v>0</v>
      </c>
      <c r="F9" s="335">
        <f t="shared" si="3"/>
        <v>0</v>
      </c>
      <c r="G9" s="335">
        <f t="shared" si="4"/>
        <v>0</v>
      </c>
      <c r="H9" s="178">
        <f t="shared" si="5"/>
        <v>0</v>
      </c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212"/>
      <c r="AH9" s="212"/>
      <c r="AI9" s="212"/>
      <c r="AJ9" s="212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135"/>
      <c r="AZ9" s="136"/>
      <c r="BA9" s="136"/>
    </row>
    <row r="10" spans="1:53" ht="18" customHeight="1">
      <c r="A10" s="147">
        <v>8</v>
      </c>
      <c r="B10" s="135" t="str">
        <f>VLOOKUP(A10,緊急聯絡!A$2:C$27,3,0)</f>
        <v>洪楷珅</v>
      </c>
      <c r="C10" s="335">
        <f t="shared" si="0"/>
        <v>0</v>
      </c>
      <c r="D10" s="335">
        <f t="shared" si="1"/>
        <v>0</v>
      </c>
      <c r="E10" s="335">
        <f t="shared" si="2"/>
        <v>0</v>
      </c>
      <c r="F10" s="335">
        <f t="shared" si="3"/>
        <v>0</v>
      </c>
      <c r="G10" s="335">
        <f t="shared" si="4"/>
        <v>0</v>
      </c>
      <c r="H10" s="178">
        <f t="shared" si="5"/>
        <v>0</v>
      </c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212"/>
      <c r="AH10" s="212"/>
      <c r="AI10" s="212"/>
      <c r="AJ10" s="212"/>
      <c r="AK10" s="307"/>
      <c r="AL10" s="307"/>
      <c r="AM10" s="307"/>
      <c r="AN10" s="307"/>
      <c r="AO10" s="307"/>
      <c r="AP10" s="307"/>
      <c r="AQ10" s="307"/>
      <c r="AR10" s="307"/>
      <c r="AS10" s="307"/>
      <c r="AT10" s="307"/>
      <c r="AU10" s="307"/>
      <c r="AV10" s="307"/>
      <c r="AW10" s="307"/>
      <c r="AX10" s="307"/>
      <c r="AY10" s="135"/>
      <c r="AZ10" s="136"/>
      <c r="BA10" s="136"/>
    </row>
    <row r="11" spans="1:53" ht="18" customHeight="1">
      <c r="A11" s="147">
        <v>9</v>
      </c>
      <c r="B11" s="135" t="str">
        <f>VLOOKUP(A11,緊急聯絡!A$2:C$27,3,0)</f>
        <v>吳承哲</v>
      </c>
      <c r="C11" s="335">
        <f t="shared" si="0"/>
        <v>0</v>
      </c>
      <c r="D11" s="335">
        <f t="shared" si="1"/>
        <v>0</v>
      </c>
      <c r="E11" s="335">
        <f t="shared" si="2"/>
        <v>0</v>
      </c>
      <c r="F11" s="335">
        <f t="shared" si="3"/>
        <v>0</v>
      </c>
      <c r="G11" s="335">
        <f t="shared" si="4"/>
        <v>0</v>
      </c>
      <c r="H11" s="178">
        <f t="shared" si="5"/>
        <v>0</v>
      </c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212"/>
      <c r="AH11" s="212"/>
      <c r="AI11" s="212"/>
      <c r="AJ11" s="212"/>
      <c r="AK11" s="307"/>
      <c r="AL11" s="307"/>
      <c r="AM11" s="307"/>
      <c r="AN11" s="307"/>
      <c r="AO11" s="307"/>
      <c r="AP11" s="307"/>
      <c r="AQ11" s="307"/>
      <c r="AR11" s="307"/>
      <c r="AS11" s="307"/>
      <c r="AT11" s="307"/>
      <c r="AU11" s="307"/>
      <c r="AV11" s="307"/>
      <c r="AW11" s="307"/>
      <c r="AX11" s="307"/>
      <c r="AY11" s="135"/>
      <c r="AZ11" s="136"/>
      <c r="BA11" s="136"/>
    </row>
    <row r="12" spans="1:53" ht="18" customHeight="1">
      <c r="A12" s="147">
        <v>10</v>
      </c>
      <c r="B12" s="135" t="str">
        <f>VLOOKUP(A12,緊急聯絡!A$2:C$27,3,0)</f>
        <v>李宥霆</v>
      </c>
      <c r="C12" s="335">
        <f t="shared" si="0"/>
        <v>0</v>
      </c>
      <c r="D12" s="335">
        <f t="shared" si="1"/>
        <v>0</v>
      </c>
      <c r="E12" s="335">
        <f t="shared" si="2"/>
        <v>0</v>
      </c>
      <c r="F12" s="335">
        <f t="shared" si="3"/>
        <v>0</v>
      </c>
      <c r="G12" s="335">
        <f t="shared" si="4"/>
        <v>0</v>
      </c>
      <c r="H12" s="178">
        <f t="shared" si="5"/>
        <v>0</v>
      </c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212"/>
      <c r="AH12" s="212"/>
      <c r="AI12" s="212"/>
      <c r="AJ12" s="212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135"/>
      <c r="AZ12" s="136"/>
      <c r="BA12" s="136"/>
    </row>
    <row r="13" spans="1:53" ht="18" customHeight="1">
      <c r="A13" s="147">
        <v>11</v>
      </c>
      <c r="B13" s="135" t="str">
        <f>VLOOKUP(A13,緊急聯絡!A$2:C$27,3,0)</f>
        <v>柯皓哲</v>
      </c>
      <c r="C13" s="335">
        <f t="shared" si="0"/>
        <v>0</v>
      </c>
      <c r="D13" s="335">
        <f t="shared" si="1"/>
        <v>0</v>
      </c>
      <c r="E13" s="335">
        <f t="shared" si="2"/>
        <v>0</v>
      </c>
      <c r="F13" s="335">
        <f t="shared" si="3"/>
        <v>0</v>
      </c>
      <c r="G13" s="335">
        <f t="shared" si="4"/>
        <v>0</v>
      </c>
      <c r="H13" s="178">
        <f t="shared" si="5"/>
        <v>0</v>
      </c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212"/>
      <c r="AH13" s="212"/>
      <c r="AI13" s="212"/>
      <c r="AJ13" s="212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135"/>
      <c r="AZ13" s="136"/>
      <c r="BA13" s="136"/>
    </row>
    <row r="14" spans="1:53" ht="18" customHeight="1">
      <c r="A14" s="147">
        <v>12</v>
      </c>
      <c r="B14" s="135" t="str">
        <f>VLOOKUP(A14,緊急聯絡!A$2:C$27,3,0)</f>
        <v>魏宇謙</v>
      </c>
      <c r="C14" s="335">
        <f t="shared" si="0"/>
        <v>0</v>
      </c>
      <c r="D14" s="335">
        <f t="shared" si="1"/>
        <v>0</v>
      </c>
      <c r="E14" s="335">
        <f t="shared" si="2"/>
        <v>0</v>
      </c>
      <c r="F14" s="335">
        <f t="shared" si="3"/>
        <v>0</v>
      </c>
      <c r="G14" s="335">
        <f t="shared" si="4"/>
        <v>0</v>
      </c>
      <c r="H14" s="178">
        <f t="shared" si="5"/>
        <v>0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212"/>
      <c r="AH14" s="212"/>
      <c r="AI14" s="212"/>
      <c r="AJ14" s="212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135"/>
      <c r="AZ14" s="136"/>
      <c r="BA14" s="136"/>
    </row>
    <row r="15" spans="1:53" ht="18" customHeight="1">
      <c r="A15" s="147">
        <v>13</v>
      </c>
      <c r="B15" s="135" t="str">
        <f>VLOOKUP(A15,緊急聯絡!A$2:C$27,3,0)</f>
        <v>林季曄</v>
      </c>
      <c r="C15" s="335">
        <f t="shared" si="0"/>
        <v>0</v>
      </c>
      <c r="D15" s="335">
        <f t="shared" si="1"/>
        <v>0</v>
      </c>
      <c r="E15" s="335">
        <f t="shared" si="2"/>
        <v>0</v>
      </c>
      <c r="F15" s="335">
        <f t="shared" si="3"/>
        <v>0</v>
      </c>
      <c r="G15" s="335">
        <f t="shared" si="4"/>
        <v>0</v>
      </c>
      <c r="H15" s="178">
        <f t="shared" si="5"/>
        <v>0</v>
      </c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212"/>
      <c r="AH15" s="212"/>
      <c r="AI15" s="212"/>
      <c r="AJ15" s="212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135"/>
      <c r="AZ15" s="136"/>
      <c r="BA15" s="136"/>
    </row>
    <row r="16" spans="1:53" ht="18" customHeight="1">
      <c r="A16" s="147">
        <v>14</v>
      </c>
      <c r="B16" s="135" t="str">
        <f>VLOOKUP(A16,緊急聯絡!A$2:C$27,3,0)</f>
        <v>高翊庭</v>
      </c>
      <c r="C16" s="335">
        <f t="shared" si="0"/>
        <v>0</v>
      </c>
      <c r="D16" s="335">
        <f t="shared" si="1"/>
        <v>0</v>
      </c>
      <c r="E16" s="335">
        <f t="shared" si="2"/>
        <v>0</v>
      </c>
      <c r="F16" s="335">
        <f t="shared" si="3"/>
        <v>0</v>
      </c>
      <c r="G16" s="335">
        <f t="shared" si="4"/>
        <v>0</v>
      </c>
      <c r="H16" s="178">
        <f t="shared" si="5"/>
        <v>0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212"/>
      <c r="AH16" s="212"/>
      <c r="AI16" s="212"/>
      <c r="AJ16" s="212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135"/>
      <c r="AZ16" s="136"/>
      <c r="BA16" s="136"/>
    </row>
    <row r="17" spans="1:53" ht="18" customHeight="1">
      <c r="A17" s="147">
        <v>15</v>
      </c>
      <c r="B17" s="135" t="str">
        <f>VLOOKUP(A17,緊急聯絡!A$2:C$27,3,0)</f>
        <v>藍彩華</v>
      </c>
      <c r="C17" s="335">
        <f t="shared" si="0"/>
        <v>0</v>
      </c>
      <c r="D17" s="335">
        <f t="shared" si="1"/>
        <v>0</v>
      </c>
      <c r="E17" s="335">
        <f t="shared" si="2"/>
        <v>0</v>
      </c>
      <c r="F17" s="335">
        <f t="shared" si="3"/>
        <v>0</v>
      </c>
      <c r="G17" s="335">
        <f t="shared" si="4"/>
        <v>0</v>
      </c>
      <c r="H17" s="178">
        <f t="shared" si="5"/>
        <v>0</v>
      </c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212"/>
      <c r="AH17" s="212"/>
      <c r="AI17" s="212"/>
      <c r="AJ17" s="212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  <c r="AY17" s="135"/>
      <c r="AZ17" s="136"/>
      <c r="BA17" s="136"/>
    </row>
    <row r="18" spans="1:53" ht="18" customHeight="1">
      <c r="A18" s="147">
        <v>16</v>
      </c>
      <c r="B18" s="135" t="str">
        <f>VLOOKUP(A18,緊急聯絡!A$2:C$27,3,0)</f>
        <v>曾琛晞</v>
      </c>
      <c r="C18" s="335">
        <f t="shared" si="0"/>
        <v>0</v>
      </c>
      <c r="D18" s="335">
        <f t="shared" si="1"/>
        <v>0</v>
      </c>
      <c r="E18" s="335">
        <f t="shared" si="2"/>
        <v>0</v>
      </c>
      <c r="F18" s="335">
        <f t="shared" si="3"/>
        <v>0</v>
      </c>
      <c r="G18" s="335">
        <f t="shared" si="4"/>
        <v>0</v>
      </c>
      <c r="H18" s="178">
        <f t="shared" si="5"/>
        <v>0</v>
      </c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212"/>
      <c r="AH18" s="212"/>
      <c r="AI18" s="212"/>
      <c r="AJ18" s="212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135"/>
      <c r="AZ18" s="136"/>
      <c r="BA18" s="136"/>
    </row>
    <row r="19" spans="1:53" ht="18" customHeight="1">
      <c r="A19" s="147">
        <v>17</v>
      </c>
      <c r="B19" s="135" t="str">
        <f>VLOOKUP(A19,緊急聯絡!A$2:C$27,3,0)</f>
        <v>張智函</v>
      </c>
      <c r="C19" s="335">
        <f t="shared" si="0"/>
        <v>0</v>
      </c>
      <c r="D19" s="335">
        <f t="shared" si="1"/>
        <v>0</v>
      </c>
      <c r="E19" s="335">
        <f t="shared" si="2"/>
        <v>0</v>
      </c>
      <c r="F19" s="335">
        <f t="shared" si="3"/>
        <v>0</v>
      </c>
      <c r="G19" s="335">
        <f t="shared" si="4"/>
        <v>0</v>
      </c>
      <c r="H19" s="178">
        <f t="shared" si="5"/>
        <v>0</v>
      </c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212"/>
      <c r="AH19" s="212"/>
      <c r="AI19" s="212"/>
      <c r="AJ19" s="212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135"/>
      <c r="AZ19" s="136"/>
      <c r="BA19" s="136"/>
    </row>
    <row r="20" spans="1:53" ht="18" customHeight="1">
      <c r="A20" s="147">
        <v>18</v>
      </c>
      <c r="B20" s="135" t="str">
        <f>VLOOKUP(A20,緊急聯絡!A$2:C$27,3,0)</f>
        <v>許凌菲</v>
      </c>
      <c r="C20" s="335">
        <f t="shared" si="0"/>
        <v>0</v>
      </c>
      <c r="D20" s="335">
        <f t="shared" si="1"/>
        <v>0</v>
      </c>
      <c r="E20" s="335">
        <f t="shared" si="2"/>
        <v>0</v>
      </c>
      <c r="F20" s="335">
        <f t="shared" si="3"/>
        <v>0</v>
      </c>
      <c r="G20" s="335">
        <f t="shared" si="4"/>
        <v>0</v>
      </c>
      <c r="H20" s="178">
        <f t="shared" si="5"/>
        <v>0</v>
      </c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212"/>
      <c r="AH20" s="212"/>
      <c r="AI20" s="212"/>
      <c r="AJ20" s="212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135"/>
      <c r="AZ20" s="138"/>
      <c r="BA20" s="138"/>
    </row>
    <row r="21" spans="1:53" ht="18" customHeight="1">
      <c r="A21" s="147">
        <v>19</v>
      </c>
      <c r="B21" s="135" t="str">
        <f>VLOOKUP(A21,緊急聯絡!A$2:C$27,3,0)</f>
        <v>吳羽棠</v>
      </c>
      <c r="C21" s="335">
        <f t="shared" si="0"/>
        <v>0</v>
      </c>
      <c r="D21" s="335">
        <f t="shared" si="1"/>
        <v>0</v>
      </c>
      <c r="E21" s="335">
        <f t="shared" si="2"/>
        <v>0</v>
      </c>
      <c r="F21" s="335">
        <f t="shared" si="3"/>
        <v>0</v>
      </c>
      <c r="G21" s="335">
        <f t="shared" si="4"/>
        <v>0</v>
      </c>
      <c r="H21" s="178">
        <f t="shared" si="5"/>
        <v>0</v>
      </c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212"/>
      <c r="AH21" s="212"/>
      <c r="AI21" s="212"/>
      <c r="AJ21" s="212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135"/>
      <c r="AZ21" s="136"/>
      <c r="BA21" s="136"/>
    </row>
    <row r="22" spans="1:53" ht="18" customHeight="1">
      <c r="A22" s="147">
        <v>20</v>
      </c>
      <c r="B22" s="135" t="str">
        <f>VLOOKUP(A22,緊急聯絡!A$2:C$27,3,0)</f>
        <v>蔡羽媗</v>
      </c>
      <c r="C22" s="335">
        <f t="shared" si="0"/>
        <v>0</v>
      </c>
      <c r="D22" s="335">
        <f t="shared" si="1"/>
        <v>0</v>
      </c>
      <c r="E22" s="335">
        <f t="shared" si="2"/>
        <v>0</v>
      </c>
      <c r="F22" s="335">
        <f t="shared" si="3"/>
        <v>0</v>
      </c>
      <c r="G22" s="335">
        <f t="shared" si="4"/>
        <v>0</v>
      </c>
      <c r="H22" s="178">
        <f t="shared" si="5"/>
        <v>0</v>
      </c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212"/>
      <c r="AH22" s="212"/>
      <c r="AI22" s="212"/>
      <c r="AJ22" s="212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135"/>
      <c r="AZ22" s="136"/>
      <c r="BA22" s="136"/>
    </row>
    <row r="23" spans="1:53" ht="18" customHeight="1">
      <c r="A23" s="147">
        <v>21</v>
      </c>
      <c r="B23" s="135" t="str">
        <f>VLOOKUP(A23,緊急聯絡!A$2:C$27,3,0)</f>
        <v>楊筱歆</v>
      </c>
      <c r="C23" s="335">
        <f t="shared" si="0"/>
        <v>0</v>
      </c>
      <c r="D23" s="335">
        <f t="shared" si="1"/>
        <v>0</v>
      </c>
      <c r="E23" s="335">
        <f t="shared" si="2"/>
        <v>0</v>
      </c>
      <c r="F23" s="335">
        <f t="shared" si="3"/>
        <v>0</v>
      </c>
      <c r="G23" s="335">
        <f t="shared" si="4"/>
        <v>0</v>
      </c>
      <c r="H23" s="178">
        <f t="shared" si="5"/>
        <v>0</v>
      </c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212"/>
      <c r="AH23" s="212"/>
      <c r="AI23" s="212"/>
      <c r="AJ23" s="212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135"/>
      <c r="AZ23" s="136"/>
      <c r="BA23" s="136"/>
    </row>
    <row r="24" spans="1:53" ht="18" customHeight="1">
      <c r="A24" s="147">
        <v>22</v>
      </c>
      <c r="B24" s="135" t="str">
        <f>VLOOKUP(A24,緊急聯絡!A$2:C$27,3,0)</f>
        <v>邱詩涵</v>
      </c>
      <c r="C24" s="335">
        <f t="shared" si="0"/>
        <v>0</v>
      </c>
      <c r="D24" s="335">
        <f t="shared" si="1"/>
        <v>0</v>
      </c>
      <c r="E24" s="335">
        <f t="shared" si="2"/>
        <v>0</v>
      </c>
      <c r="F24" s="335">
        <f t="shared" si="3"/>
        <v>0</v>
      </c>
      <c r="G24" s="335">
        <f t="shared" si="4"/>
        <v>0</v>
      </c>
      <c r="H24" s="178">
        <f t="shared" si="5"/>
        <v>0</v>
      </c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212"/>
      <c r="AH24" s="212"/>
      <c r="AI24" s="212"/>
      <c r="AJ24" s="212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135"/>
      <c r="AZ24" s="138"/>
      <c r="BA24" s="138"/>
    </row>
    <row r="25" spans="1:53" ht="18" customHeight="1">
      <c r="A25" s="147">
        <v>23</v>
      </c>
      <c r="B25" s="135" t="str">
        <f>VLOOKUP(A25,緊急聯絡!A$2:C$27,3,0)</f>
        <v>張涵甯</v>
      </c>
      <c r="C25" s="335">
        <f t="shared" si="0"/>
        <v>0</v>
      </c>
      <c r="D25" s="335">
        <f t="shared" si="1"/>
        <v>0</v>
      </c>
      <c r="E25" s="335">
        <f t="shared" si="2"/>
        <v>0</v>
      </c>
      <c r="F25" s="335">
        <f t="shared" si="3"/>
        <v>0</v>
      </c>
      <c r="G25" s="335">
        <f t="shared" si="4"/>
        <v>0</v>
      </c>
      <c r="H25" s="178">
        <f t="shared" si="5"/>
        <v>0</v>
      </c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212"/>
      <c r="AH25" s="212"/>
      <c r="AI25" s="212"/>
      <c r="AJ25" s="212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135"/>
      <c r="AZ25" s="136"/>
      <c r="BA25" s="136"/>
    </row>
    <row r="26" spans="1:53" ht="18" customHeight="1">
      <c r="A26" s="147">
        <v>24</v>
      </c>
      <c r="B26" s="135" t="str">
        <f>VLOOKUP(A26,緊急聯絡!A$2:C$27,3,0)</f>
        <v>王姿涵</v>
      </c>
      <c r="C26" s="335">
        <f t="shared" si="0"/>
        <v>0</v>
      </c>
      <c r="D26" s="335">
        <f t="shared" si="1"/>
        <v>0</v>
      </c>
      <c r="E26" s="335">
        <f t="shared" si="2"/>
        <v>0</v>
      </c>
      <c r="F26" s="335">
        <f t="shared" si="3"/>
        <v>0</v>
      </c>
      <c r="G26" s="335">
        <f t="shared" si="4"/>
        <v>0</v>
      </c>
      <c r="H26" s="178">
        <f t="shared" si="5"/>
        <v>0</v>
      </c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212"/>
      <c r="AH26" s="212"/>
      <c r="AI26" s="212"/>
      <c r="AJ26" s="212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135"/>
      <c r="AZ26" s="138"/>
      <c r="BA26" s="138"/>
    </row>
    <row r="27" spans="1:53" ht="18" customHeight="1">
      <c r="A27" s="147">
        <v>25</v>
      </c>
      <c r="B27" s="135" t="str">
        <f>VLOOKUP(A27,緊急聯絡!A$2:C$27,3,0)</f>
        <v>林昱萱</v>
      </c>
      <c r="C27" s="335">
        <f t="shared" si="0"/>
        <v>0</v>
      </c>
      <c r="D27" s="335">
        <f t="shared" si="1"/>
        <v>0</v>
      </c>
      <c r="E27" s="335">
        <f t="shared" si="2"/>
        <v>0</v>
      </c>
      <c r="F27" s="335">
        <f t="shared" si="3"/>
        <v>0</v>
      </c>
      <c r="G27" s="335">
        <f t="shared" si="4"/>
        <v>0</v>
      </c>
      <c r="H27" s="178">
        <f t="shared" si="5"/>
        <v>0</v>
      </c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212"/>
      <c r="AH27" s="212"/>
      <c r="AI27" s="212"/>
      <c r="AJ27" s="212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135"/>
      <c r="AZ27" s="136"/>
      <c r="BA27" s="136"/>
    </row>
    <row r="28" spans="1:53" ht="18" customHeight="1">
      <c r="A28" s="147">
        <v>26</v>
      </c>
      <c r="B28" s="135" t="str">
        <f>VLOOKUP(A28,緊急聯絡!A$2:C$27,3,0)</f>
        <v>李文</v>
      </c>
      <c r="C28" s="335">
        <f t="shared" si="0"/>
        <v>0</v>
      </c>
      <c r="D28" s="335">
        <f t="shared" si="1"/>
        <v>0</v>
      </c>
      <c r="E28" s="335">
        <f t="shared" si="2"/>
        <v>0</v>
      </c>
      <c r="F28" s="335">
        <f t="shared" si="3"/>
        <v>0</v>
      </c>
      <c r="G28" s="335">
        <f t="shared" si="4"/>
        <v>0</v>
      </c>
      <c r="H28" s="178">
        <f t="shared" si="5"/>
        <v>0</v>
      </c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212"/>
      <c r="AH28" s="212"/>
      <c r="AI28" s="212"/>
      <c r="AJ28" s="212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135"/>
      <c r="AZ28" s="136"/>
      <c r="BA28" s="136"/>
    </row>
    <row r="29" spans="1:53" ht="18" customHeight="1">
      <c r="A29" s="147">
        <v>27</v>
      </c>
      <c r="B29" s="135"/>
      <c r="C29" s="335">
        <f t="shared" si="0"/>
        <v>0</v>
      </c>
      <c r="D29" s="335">
        <f t="shared" si="1"/>
        <v>0</v>
      </c>
      <c r="E29" s="335">
        <f t="shared" si="2"/>
        <v>0</v>
      </c>
      <c r="F29" s="335">
        <f t="shared" si="3"/>
        <v>0</v>
      </c>
      <c r="G29" s="335">
        <f t="shared" si="4"/>
        <v>0</v>
      </c>
      <c r="H29" s="178">
        <f t="shared" si="5"/>
        <v>0</v>
      </c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212"/>
      <c r="AH29" s="212"/>
      <c r="AI29" s="212"/>
      <c r="AJ29" s="212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135"/>
      <c r="AZ29" s="136"/>
      <c r="BA29" s="136"/>
    </row>
    <row r="30" spans="1:53">
      <c r="A30" s="147">
        <v>28</v>
      </c>
      <c r="B30" s="135"/>
      <c r="C30" s="335">
        <f t="shared" si="0"/>
        <v>0</v>
      </c>
      <c r="D30" s="335">
        <f t="shared" si="1"/>
        <v>0</v>
      </c>
      <c r="E30" s="335">
        <f t="shared" si="2"/>
        <v>0</v>
      </c>
      <c r="F30" s="335">
        <f t="shared" si="3"/>
        <v>0</v>
      </c>
      <c r="G30" s="335">
        <f t="shared" si="4"/>
        <v>0</v>
      </c>
      <c r="H30" s="210">
        <f>SUM(E30:G30)</f>
        <v>0</v>
      </c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212"/>
      <c r="AH30" s="212"/>
      <c r="AI30" s="212"/>
      <c r="AJ30" s="212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  <c r="AY30" s="135"/>
    </row>
  </sheetData>
  <mergeCells count="2">
    <mergeCell ref="A1:B1"/>
    <mergeCell ref="C1:G1"/>
  </mergeCells>
  <phoneticPr fontId="2" type="noConversion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班費</vt:lpstr>
      <vt:lpstr>功課表</vt:lpstr>
      <vt:lpstr>座位 (2)</vt:lpstr>
      <vt:lpstr>班親會</vt:lpstr>
      <vt:lpstr>名牌</vt:lpstr>
      <vt:lpstr>紀錄表</vt:lpstr>
      <vt:lpstr>緊急聯絡</vt:lpstr>
      <vt:lpstr>幹部與整潔</vt:lpstr>
      <vt:lpstr>請假</vt:lpstr>
      <vt:lpstr>回條</vt:lpstr>
      <vt:lpstr>教師日誌表 </vt:lpstr>
      <vt:lpstr>日用品</vt:lpstr>
      <vt:lpstr>國語(末)</vt:lpstr>
      <vt:lpstr>國語(中)</vt:lpstr>
      <vt:lpstr>數學 (1)</vt:lpstr>
      <vt:lpstr>數學 (2)</vt:lpstr>
      <vt:lpstr>表演</vt:lpstr>
      <vt:lpstr>美勞</vt:lpstr>
      <vt:lpstr>座位</vt:lpstr>
      <vt:lpstr>體育</vt:lpstr>
      <vt:lpstr>綜合</vt:lpstr>
      <vt:lpstr>閱讀</vt:lpstr>
      <vt:lpstr>選票</vt:lpstr>
      <vt:lpstr>成績紀錄</vt:lpstr>
      <vt:lpstr>成績</vt:lpstr>
      <vt:lpstr>暑假</vt:lpstr>
      <vt:lpstr>工作表2</vt:lpstr>
      <vt:lpstr>工作表3</vt:lpstr>
      <vt:lpstr>語文競賽</vt:lpstr>
      <vt:lpstr>SPM</vt:lpstr>
      <vt:lpstr>樂樂棒</vt:lpstr>
      <vt:lpstr>工作表4</vt:lpstr>
      <vt:lpstr>工作表5</vt:lpstr>
      <vt:lpstr>工作表6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2021-09-01T05:12:23Z</cp:lastPrinted>
  <dcterms:created xsi:type="dcterms:W3CDTF">2018-08-22T04:26:17Z</dcterms:created>
  <dcterms:modified xsi:type="dcterms:W3CDTF">2021-09-11T09:34:14Z</dcterms:modified>
</cp:coreProperties>
</file>